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GRE_PUBLICACIONES\HISTORICOS 2020\Combustibles\"/>
    </mc:Choice>
  </mc:AlternateContent>
  <workbookProtection workbookPassword="C712" lockStructure="1"/>
  <bookViews>
    <workbookView xWindow="0" yWindow="0" windowWidth="19200" windowHeight="7320" tabRatio="838" firstSheet="3" activeTab="3"/>
  </bookViews>
  <sheets>
    <sheet name="SP" sheetId="114" state="hidden" r:id="rId1"/>
    <sheet name="Variables" sheetId="106" state="hidden" r:id="rId2"/>
    <sheet name="TARIFAS DE TRANSPORTE" sheetId="61" state="hidden" r:id="rId3"/>
    <sheet name="COMBUSTIBLES " sheetId="1" r:id="rId4"/>
    <sheet name="GASOLINA CORRIENTE OXIGENADA" sheetId="46" r:id="rId5"/>
    <sheet name="SUSPENSIÓN DE MEZCLAS GASOLINA" sheetId="107" state="hidden" r:id="rId6"/>
    <sheet name="GASOLINA EXTRA OXIGENADA" sheetId="116" r:id="rId7"/>
    <sheet name="BIODIESEL" sheetId="95" r:id="rId8"/>
    <sheet name="SUSPENSIÓN DE MEZCLAS ACPM" sheetId="108" state="hidden" r:id="rId9"/>
    <sheet name="SAN-ANDRES + GENERACION" sheetId="4" r:id="rId10"/>
    <sheet name="DIESEL MARINO 01 A 21 DE JUNIO" sheetId="118" state="hidden" r:id="rId11"/>
    <sheet name="DIESEL MARINO pacifico 77" sheetId="117" state="hidden" r:id="rId12"/>
    <sheet name="DIESEL MARINO 1 a 14 DE SEP" sheetId="120" r:id="rId13"/>
    <sheet name="DIESEL MARINO 15 a 30 DE SEP" sheetId="121" r:id="rId14"/>
    <sheet name="GCINI" sheetId="70" r:id="rId15"/>
    <sheet name="Hoja2" sheetId="110" state="hidden" r:id="rId16"/>
    <sheet name="Hoja3" sheetId="111" state="hidden" r:id="rId17"/>
    <sheet name="Hoja4" sheetId="112"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7">#REF!</definedName>
    <definedName name="\A" localSheetId="3">#REF!</definedName>
    <definedName name="\A" localSheetId="10">#REF!</definedName>
    <definedName name="\A" localSheetId="12">#REF!</definedName>
    <definedName name="\A" localSheetId="13">#REF!</definedName>
    <definedName name="\A" localSheetId="11">#REF!</definedName>
    <definedName name="\A" localSheetId="4">#REF!</definedName>
    <definedName name="\A" localSheetId="8">#REF!</definedName>
    <definedName name="\A">#REF!</definedName>
    <definedName name="\L" localSheetId="7">#REF!</definedName>
    <definedName name="\L" localSheetId="3">#REF!</definedName>
    <definedName name="\L" localSheetId="10">#REF!</definedName>
    <definedName name="\L" localSheetId="12">#REF!</definedName>
    <definedName name="\L" localSheetId="13">#REF!</definedName>
    <definedName name="\L" localSheetId="11">#REF!</definedName>
    <definedName name="\L" localSheetId="4">#REF!</definedName>
    <definedName name="\L" localSheetId="8">#REF!</definedName>
    <definedName name="\L">#REF!</definedName>
    <definedName name="\P" localSheetId="7">#REF!</definedName>
    <definedName name="\P" localSheetId="3">#REF!</definedName>
    <definedName name="\P" localSheetId="10">#REF!</definedName>
    <definedName name="\P" localSheetId="12">#REF!</definedName>
    <definedName name="\P" localSheetId="13">#REF!</definedName>
    <definedName name="\P" localSheetId="11">#REF!</definedName>
    <definedName name="\P" localSheetId="4">#REF!</definedName>
    <definedName name="\P" localSheetId="8">#REF!</definedName>
    <definedName name="\P">#REF!</definedName>
    <definedName name="_xlnm._FilterDatabase" localSheetId="14" hidden="1">GCINI!$A$1:$A$9</definedName>
    <definedName name="_xlnm._FilterDatabase" localSheetId="0" hidden="1">SP!$D$14:$L$87</definedName>
    <definedName name="_xlnm._FilterDatabase" localSheetId="2" hidden="1">'TARIFAS DE TRANSPORTE'!$A$1:$B$9</definedName>
    <definedName name="A_IMPRESIÓN_IM" localSheetId="7">#REF!</definedName>
    <definedName name="A_IMPRESIÓN_IM" localSheetId="3">#REF!</definedName>
    <definedName name="A_IMPRESIÓN_IM" localSheetId="10">#REF!</definedName>
    <definedName name="A_IMPRESIÓN_IM" localSheetId="12">#REF!</definedName>
    <definedName name="A_IMPRESIÓN_IM" localSheetId="13">#REF!</definedName>
    <definedName name="A_IMPRESIÓN_IM" localSheetId="11">#REF!</definedName>
    <definedName name="A_IMPRESIÓN_IM" localSheetId="4">#REF!</definedName>
    <definedName name="A_IMPRESIÓN_IM" localSheetId="8">#REF!</definedName>
    <definedName name="A_IMPRESIÓN_IM">#REF!</definedName>
    <definedName name="ADI" localSheetId="7">#REF!</definedName>
    <definedName name="ADI" localSheetId="3">#REF!</definedName>
    <definedName name="ADI" localSheetId="10">#REF!</definedName>
    <definedName name="ADI" localSheetId="12">#REF!</definedName>
    <definedName name="ADI" localSheetId="13">#REF!</definedName>
    <definedName name="ADI" localSheetId="11">#REF!</definedName>
    <definedName name="ADI" localSheetId="4">#REF!</definedName>
    <definedName name="ADI" localSheetId="8">#REF!</definedName>
    <definedName name="ADI">#REF!</definedName>
    <definedName name="_xlnm.Print_Area" localSheetId="7">BIODIESEL!$A$4:$G$24</definedName>
    <definedName name="_xlnm.Print_Area" localSheetId="3">'COMBUSTIBLES '!$A$2:$G$21</definedName>
    <definedName name="_xlnm.Print_Area" localSheetId="10">'DIESEL MARINO 01 A 21 DE JUNIO'!$C$25:$H$44</definedName>
    <definedName name="_xlnm.Print_Area" localSheetId="12">'DIESEL MARINO 1 a 14 DE SEP'!$C$25:$H$44</definedName>
    <definedName name="_xlnm.Print_Area" localSheetId="13">'DIESEL MARINO 15 a 30 DE SEP'!$C$25:$H$44</definedName>
    <definedName name="_xlnm.Print_Area" localSheetId="11">'DIESEL MARINO pacifico 77'!$C$25:$H$44</definedName>
    <definedName name="_xlnm.Print_Area" localSheetId="4">'GASOLINA CORRIENTE OXIGENADA'!$A$2:$D$25</definedName>
    <definedName name="_xlnm.Print_Area" localSheetId="14">GCINI!$A$1:$H$18</definedName>
    <definedName name="_xlnm.Print_Area" localSheetId="9">'SAN-ANDRES + GENERACION'!$B$1:$F$34</definedName>
    <definedName name="_xlnm.Print_Area" localSheetId="2">'TARIFAS DE TRANSPORTE'!$A$1:$C$34</definedName>
    <definedName name="base" localSheetId="10">#REF!</definedName>
    <definedName name="base" localSheetId="12">#REF!</definedName>
    <definedName name="base" localSheetId="13">#REF!</definedName>
    <definedName name="base" localSheetId="11">#REF!</definedName>
    <definedName name="base" localSheetId="8">#REF!</definedName>
    <definedName name="base">#REF!</definedName>
    <definedName name="base_VaR" localSheetId="10">#REF!</definedName>
    <definedName name="base_VaR" localSheetId="12">#REF!</definedName>
    <definedName name="base_VaR" localSheetId="13">#REF!</definedName>
    <definedName name="base_VaR" localSheetId="11">#REF!</definedName>
    <definedName name="base_VaR" localSheetId="8">#REF!</definedName>
    <definedName name="base_VaR">#REF!</definedName>
    <definedName name="CONTADO" localSheetId="10">#REF!</definedName>
    <definedName name="CONTADO" localSheetId="12">#REF!</definedName>
    <definedName name="CONTADO" localSheetId="13">#REF!</definedName>
    <definedName name="CONTADO" localSheetId="11">#REF!</definedName>
    <definedName name="CONTADO" localSheetId="8">#REF!</definedName>
    <definedName name="CONTADO">#REF!</definedName>
    <definedName name="CREDITO" localSheetId="10">#REF!</definedName>
    <definedName name="CREDITO" localSheetId="12">#REF!</definedName>
    <definedName name="CREDITO" localSheetId="13">#REF!</definedName>
    <definedName name="CREDITO" localSheetId="11">#REF!</definedName>
    <definedName name="CREDITO" localSheetId="8">#REF!</definedName>
    <definedName name="CREDITO">#REF!</definedName>
    <definedName name="DAT" localSheetId="7">#REF!</definedName>
    <definedName name="DAT" localSheetId="3">#REF!</definedName>
    <definedName name="DAT" localSheetId="10">#REF!</definedName>
    <definedName name="DAT" localSheetId="12">#REF!</definedName>
    <definedName name="DAT" localSheetId="13">#REF!</definedName>
    <definedName name="DAT" localSheetId="11">#REF!</definedName>
    <definedName name="DAT" localSheetId="4">#REF!</definedName>
    <definedName name="DAT" localSheetId="8">#REF!</definedName>
    <definedName name="DAT">#REF!</definedName>
    <definedName name="E_03" localSheetId="10">#REF!</definedName>
    <definedName name="E_03" localSheetId="12">#REF!</definedName>
    <definedName name="E_03" localSheetId="13">#REF!</definedName>
    <definedName name="E_03" localSheetId="11">#REF!</definedName>
    <definedName name="E_03" localSheetId="8">#REF!</definedName>
    <definedName name="E_03">#REF!</definedName>
    <definedName name="ERR" localSheetId="7">[1]TARIF2002!#REF!</definedName>
    <definedName name="ERR" localSheetId="10">[2]TARIF2002!#REF!</definedName>
    <definedName name="ERR" localSheetId="12">[2]TARIF2002!#REF!</definedName>
    <definedName name="ERR" localSheetId="13">[2]TARIF2002!#REF!</definedName>
    <definedName name="ERR" localSheetId="11">[2]TARIF2002!#REF!</definedName>
    <definedName name="ERR" localSheetId="4">[1]TARIF2002!#REF!</definedName>
    <definedName name="ERR" localSheetId="8">[2]TARIF2002!#REF!</definedName>
    <definedName name="ERR">[2]TARIF2002!#REF!</definedName>
    <definedName name="ERROR" localSheetId="7">#REF!</definedName>
    <definedName name="ERROR" localSheetId="10">#REF!</definedName>
    <definedName name="ERROR" localSheetId="12">#REF!</definedName>
    <definedName name="ERROR" localSheetId="13">#REF!</definedName>
    <definedName name="ERROR" localSheetId="11">#REF!</definedName>
    <definedName name="ERROR" localSheetId="4">#REF!</definedName>
    <definedName name="ERROR" localSheetId="8">#REF!</definedName>
    <definedName name="ERROR">#REF!</definedName>
    <definedName name="ERROR1" localSheetId="7">#REF!</definedName>
    <definedName name="ERROR1" localSheetId="10">#REF!</definedName>
    <definedName name="ERROR1" localSheetId="12">#REF!</definedName>
    <definedName name="ERROR1" localSheetId="13">#REF!</definedName>
    <definedName name="ERROR1" localSheetId="11">#REF!</definedName>
    <definedName name="ERROR1" localSheetId="4">#REF!</definedName>
    <definedName name="ERROR1" localSheetId="8">#REF!</definedName>
    <definedName name="ERROR1">#REF!</definedName>
    <definedName name="ERROR2" localSheetId="7">#REF!</definedName>
    <definedName name="ERROR2" localSheetId="10">#REF!</definedName>
    <definedName name="ERROR2" localSheetId="12">#REF!</definedName>
    <definedName name="ERROR2" localSheetId="13">#REF!</definedName>
    <definedName name="ERROR2" localSheetId="11">#REF!</definedName>
    <definedName name="ERROR2" localSheetId="4">#REF!</definedName>
    <definedName name="ERROR2" localSheetId="8">#REF!</definedName>
    <definedName name="ERROR2">#REF!</definedName>
    <definedName name="ERROR3" localSheetId="7">[1]TARIF2002!#REF!</definedName>
    <definedName name="ERROR3" localSheetId="10">[2]TARIF2002!#REF!</definedName>
    <definedName name="ERROR3" localSheetId="12">[2]TARIF2002!#REF!</definedName>
    <definedName name="ERROR3" localSheetId="13">[2]TARIF2002!#REF!</definedName>
    <definedName name="ERROR3" localSheetId="11">[2]TARIF2002!#REF!</definedName>
    <definedName name="ERROR3" localSheetId="4">[1]TARIF2002!#REF!</definedName>
    <definedName name="ERROR3" localSheetId="8">[2]TARIF2002!#REF!</definedName>
    <definedName name="ERROR3">[2]TARIF2002!#REF!</definedName>
    <definedName name="ERROR5" localSheetId="7">[1]TARIF2002!#REF!</definedName>
    <definedName name="ERROR5" localSheetId="10">[2]TARIF2002!#REF!</definedName>
    <definedName name="ERROR5" localSheetId="12">[2]TARIF2002!#REF!</definedName>
    <definedName name="ERROR5" localSheetId="13">[2]TARIF2002!#REF!</definedName>
    <definedName name="ERROR5" localSheetId="11">[2]TARIF2002!#REF!</definedName>
    <definedName name="ERROR5" localSheetId="4">[1]TARIF2002!#REF!</definedName>
    <definedName name="ERROR5" localSheetId="8">[2]TARIF2002!#REF!</definedName>
    <definedName name="ERROR5">[2]TARIF2002!#REF!</definedName>
    <definedName name="j" localSheetId="7">#REF!</definedName>
    <definedName name="j" localSheetId="10">#REF!</definedName>
    <definedName name="j" localSheetId="12">#REF!</definedName>
    <definedName name="j" localSheetId="13">#REF!</definedName>
    <definedName name="j" localSheetId="11">#REF!</definedName>
    <definedName name="j" localSheetId="4">#REF!</definedName>
    <definedName name="j" localSheetId="8">#REF!</definedName>
    <definedName name="j">#REF!</definedName>
    <definedName name="JA" localSheetId="10">#REF!</definedName>
    <definedName name="JA" localSheetId="12">#REF!</definedName>
    <definedName name="JA" localSheetId="13">#REF!</definedName>
    <definedName name="JA" localSheetId="11">#REF!</definedName>
    <definedName name="JA" localSheetId="8">#REF!</definedName>
    <definedName name="JA">#REF!</definedName>
    <definedName name="MATRIZRICS" localSheetId="7">'[3]RICS NUEVA HOJA DIARIA'!$A$1:$AB$42</definedName>
    <definedName name="MATRIZRICS" localSheetId="4">'[3]RICS NUEVA HOJA DIARIA'!$A$1:$AB$42</definedName>
    <definedName name="MATRIZRICS">'[4]RICS NUEVA HOJA DIARIA'!$A$1:$AB$42</definedName>
    <definedName name="MES" localSheetId="7">#REF!</definedName>
    <definedName name="MES" localSheetId="3">#REF!</definedName>
    <definedName name="MES" localSheetId="10">#REF!</definedName>
    <definedName name="MES" localSheetId="12">#REF!</definedName>
    <definedName name="MES" localSheetId="13">#REF!</definedName>
    <definedName name="MES" localSheetId="11">#REF!</definedName>
    <definedName name="MES" localSheetId="4">#REF!</definedName>
    <definedName name="MES" localSheetId="8">#REF!</definedName>
    <definedName name="MES">#REF!</definedName>
    <definedName name="Q" localSheetId="7">[5]TARIF2002!#REF!</definedName>
    <definedName name="Q" localSheetId="10">[6]TARIF2002!#REF!</definedName>
    <definedName name="Q" localSheetId="12">[6]TARIF2002!#REF!</definedName>
    <definedName name="Q" localSheetId="13">[6]TARIF2002!#REF!</definedName>
    <definedName name="Q" localSheetId="11">[6]TARIF2002!#REF!</definedName>
    <definedName name="Q" localSheetId="4">[5]TARIF2002!#REF!</definedName>
    <definedName name="Q" localSheetId="8">[6]TARIF2002!#REF!</definedName>
    <definedName name="Q">[6]TARIF2002!#REF!</definedName>
    <definedName name="QE" localSheetId="7">[7]TARIF2002!#REF!</definedName>
    <definedName name="QE" localSheetId="3">[8]TARIF2002!#REF!</definedName>
    <definedName name="QE" localSheetId="10">[2]TARIF2002!#REF!</definedName>
    <definedName name="QE" localSheetId="12">[2]TARIF2002!#REF!</definedName>
    <definedName name="QE" localSheetId="13">[2]TARIF2002!#REF!</definedName>
    <definedName name="QE" localSheetId="11">[2]TARIF2002!#REF!</definedName>
    <definedName name="QE" localSheetId="4">[7]TARIF2002!#REF!</definedName>
    <definedName name="QE" localSheetId="8">[2]TARIF2002!#REF!</definedName>
    <definedName name="QE">[2]TARIF2002!#REF!</definedName>
    <definedName name="QE_TE" localSheetId="7">[7]TARIF2002!#REF!</definedName>
    <definedName name="QE_TE" localSheetId="3">[8]TARIF2002!#REF!</definedName>
    <definedName name="QE_TE" localSheetId="10">[2]TARIF2002!#REF!</definedName>
    <definedName name="QE_TE" localSheetId="12">[2]TARIF2002!#REF!</definedName>
    <definedName name="QE_TE" localSheetId="13">[2]TARIF2002!#REF!</definedName>
    <definedName name="QE_TE" localSheetId="11">[2]TARIF2002!#REF!</definedName>
    <definedName name="QE_TE" localSheetId="4">[7]TARIF2002!#REF!</definedName>
    <definedName name="QE_TE" localSheetId="8">[2]TARIF2002!#REF!</definedName>
    <definedName name="QE_TE">[2]TARIF2002!#REF!</definedName>
    <definedName name="QI" localSheetId="7">[7]TARIF2002!#REF!</definedName>
    <definedName name="QI" localSheetId="3">[8]TARIF2002!#REF!</definedName>
    <definedName name="QI" localSheetId="10">[2]TARIF2002!#REF!</definedName>
    <definedName name="QI" localSheetId="12">[2]TARIF2002!#REF!</definedName>
    <definedName name="QI" localSheetId="13">[2]TARIF2002!#REF!</definedName>
    <definedName name="QI" localSheetId="11">[2]TARIF2002!#REF!</definedName>
    <definedName name="QI" localSheetId="4">[7]TARIF2002!#REF!</definedName>
    <definedName name="QI" localSheetId="8">[2]TARIF2002!#REF!</definedName>
    <definedName name="QI">[2]TARIF2002!#REF!</definedName>
    <definedName name="QI_TI" localSheetId="7">[7]TARIF2002!#REF!</definedName>
    <definedName name="QI_TI" localSheetId="3">[8]TARIF2002!#REF!</definedName>
    <definedName name="QI_TI" localSheetId="10">[2]TARIF2002!#REF!</definedName>
    <definedName name="QI_TI" localSheetId="12">[2]TARIF2002!#REF!</definedName>
    <definedName name="QI_TI" localSheetId="13">[2]TARIF2002!#REF!</definedName>
    <definedName name="QI_TI" localSheetId="11">[2]TARIF2002!#REF!</definedName>
    <definedName name="QI_TI" localSheetId="4">[7]TARIF2002!#REF!</definedName>
    <definedName name="QI_TI" localSheetId="8">[2]TARIF2002!#REF!</definedName>
    <definedName name="QI_TI">[2]TARIF2002!#REF!</definedName>
    <definedName name="QN" localSheetId="7">[7]TARIF2002!#REF!</definedName>
    <definedName name="QN" localSheetId="3">[8]TARIF2002!#REF!</definedName>
    <definedName name="QN" localSheetId="10">[2]TARIF2002!#REF!</definedName>
    <definedName name="QN" localSheetId="12">[2]TARIF2002!#REF!</definedName>
    <definedName name="QN" localSheetId="13">[2]TARIF2002!#REF!</definedName>
    <definedName name="QN" localSheetId="11">[2]TARIF2002!#REF!</definedName>
    <definedName name="QN" localSheetId="4">[7]TARIF2002!#REF!</definedName>
    <definedName name="QN" localSheetId="8">[2]TARIF2002!#REF!</definedName>
    <definedName name="QN">[2]TARIF2002!#REF!</definedName>
    <definedName name="QN_QI" localSheetId="7">[7]TARIF2002!#REF!</definedName>
    <definedName name="QN_QI" localSheetId="3">[8]TARIF2002!#REF!</definedName>
    <definedName name="QN_QI" localSheetId="10">[2]TARIF2002!#REF!</definedName>
    <definedName name="QN_QI" localSheetId="12">[2]TARIF2002!#REF!</definedName>
    <definedName name="QN_QI" localSheetId="13">[2]TARIF2002!#REF!</definedName>
    <definedName name="QN_QI" localSheetId="11">[2]TARIF2002!#REF!</definedName>
    <definedName name="QN_QI" localSheetId="4">[7]TARIF2002!#REF!</definedName>
    <definedName name="QN_QI" localSheetId="8">[2]TARIF2002!#REF!</definedName>
    <definedName name="QN_QI">[2]TARIF2002!#REF!</definedName>
    <definedName name="QNS" localSheetId="7">[5]TARIF2002!#REF!</definedName>
    <definedName name="QNS" localSheetId="10">[6]TARIF2002!#REF!</definedName>
    <definedName name="QNS" localSheetId="12">[6]TARIF2002!#REF!</definedName>
    <definedName name="QNS" localSheetId="13">[6]TARIF2002!#REF!</definedName>
    <definedName name="QNS" localSheetId="11">[6]TARIF2002!#REF!</definedName>
    <definedName name="QNS" localSheetId="4">[5]TARIF2002!#REF!</definedName>
    <definedName name="QNS" localSheetId="8">[6]TARIF2002!#REF!</definedName>
    <definedName name="QNS">[6]TARIF2002!#REF!</definedName>
    <definedName name="REG" localSheetId="7">#REF!</definedName>
    <definedName name="REG" localSheetId="3">#REF!</definedName>
    <definedName name="REG" localSheetId="10">#REF!</definedName>
    <definedName name="REG" localSheetId="12">#REF!</definedName>
    <definedName name="REG" localSheetId="13">#REF!</definedName>
    <definedName name="REG" localSheetId="11">#REF!</definedName>
    <definedName name="REG" localSheetId="4">#REF!</definedName>
    <definedName name="REG" localSheetId="8">#REF!</definedName>
    <definedName name="REG">#REF!</definedName>
    <definedName name="REGULAR" localSheetId="7">#REF!</definedName>
    <definedName name="REGULAR" localSheetId="3">#REF!</definedName>
    <definedName name="REGULAR" localSheetId="10">#REF!</definedName>
    <definedName name="REGULAR" localSheetId="12">#REF!</definedName>
    <definedName name="REGULAR" localSheetId="13">#REF!</definedName>
    <definedName name="REGULAR" localSheetId="11">#REF!</definedName>
    <definedName name="REGULAR" localSheetId="4">#REF!</definedName>
    <definedName name="REGULAR" localSheetId="8">#REF!</definedName>
    <definedName name="REGULAR">#REF!</definedName>
    <definedName name="SOL" localSheetId="7">#REF!</definedName>
    <definedName name="SOL" localSheetId="3">#REF!</definedName>
    <definedName name="SOL" localSheetId="10">#REF!</definedName>
    <definedName name="SOL" localSheetId="12">#REF!</definedName>
    <definedName name="SOL" localSheetId="13">#REF!</definedName>
    <definedName name="SOL" localSheetId="11">#REF!</definedName>
    <definedName name="SOL" localSheetId="4">#REF!</definedName>
    <definedName name="SOL" localSheetId="8">#REF!</definedName>
    <definedName name="SOL">#REF!</definedName>
    <definedName name="TABLE" localSheetId="7">BIODIESEL!$A$2:$A$24</definedName>
    <definedName name="TABLE" localSheetId="3">'COMBUSTIBLES '!$A$2:$G$21</definedName>
    <definedName name="TABLE" localSheetId="4">'GASOLINA CORRIENTE OXIGENADA'!$A$2:$D$23</definedName>
    <definedName name="TE" localSheetId="7">[7]TARIF2002!#REF!</definedName>
    <definedName name="TE" localSheetId="3">[8]TARIF2002!#REF!</definedName>
    <definedName name="TE" localSheetId="10">[2]TARIF2002!#REF!</definedName>
    <definedName name="TE" localSheetId="12">[2]TARIF2002!#REF!</definedName>
    <definedName name="TE" localSheetId="13">[2]TARIF2002!#REF!</definedName>
    <definedName name="TE" localSheetId="11">[2]TARIF2002!#REF!</definedName>
    <definedName name="TE" localSheetId="4">[7]TARIF2002!#REF!</definedName>
    <definedName name="TE" localSheetId="8">[2]TARIF2002!#REF!</definedName>
    <definedName name="TE">[2]TARIF2002!#REF!</definedName>
    <definedName name="TI" localSheetId="7">[7]TARIF2002!#REF!</definedName>
    <definedName name="TI" localSheetId="3">[8]TARIF2002!#REF!</definedName>
    <definedName name="TI" localSheetId="10">[2]TARIF2002!#REF!</definedName>
    <definedName name="TI" localSheetId="12">[2]TARIF2002!#REF!</definedName>
    <definedName name="TI" localSheetId="13">[2]TARIF2002!#REF!</definedName>
    <definedName name="TI" localSheetId="11">[2]TARIF2002!#REF!</definedName>
    <definedName name="TI" localSheetId="4">[7]TARIF2002!#REF!</definedName>
    <definedName name="TI" localSheetId="8">[2]TARIF2002!#REF!</definedName>
    <definedName name="TI">[2]TARIF2002!#REF!</definedName>
    <definedName name="TITU" localSheetId="7">#REF!</definedName>
    <definedName name="TITU" localSheetId="3">#REF!</definedName>
    <definedName name="TITU" localSheetId="10">#REF!</definedName>
    <definedName name="TITU" localSheetId="12">#REF!</definedName>
    <definedName name="TITU" localSheetId="13">#REF!</definedName>
    <definedName name="TITU" localSheetId="11">#REF!</definedName>
    <definedName name="TITU" localSheetId="4">#REF!</definedName>
    <definedName name="TITU" localSheetId="8">#REF!</definedName>
    <definedName name="TITU">#REF!</definedName>
    <definedName name="TOT" localSheetId="7">#REF!</definedName>
    <definedName name="TOT" localSheetId="3">#REF!</definedName>
    <definedName name="TOT" localSheetId="10">#REF!</definedName>
    <definedName name="TOT" localSheetId="12">#REF!</definedName>
    <definedName name="TOT" localSheetId="13">#REF!</definedName>
    <definedName name="TOT" localSheetId="11">#REF!</definedName>
    <definedName name="TOT" localSheetId="4">#REF!</definedName>
    <definedName name="TOT" localSheetId="8">#REF!</definedName>
    <definedName name="TOT">#REF!</definedName>
  </definedNames>
  <calcPr calcId="152511"/>
</workbook>
</file>

<file path=xl/calcChain.xml><?xml version="1.0" encoding="utf-8"?>
<calcChain xmlns="http://schemas.openxmlformats.org/spreadsheetml/2006/main">
  <c r="O110" i="121" l="1"/>
  <c r="O109" i="121"/>
  <c r="E109" i="121" l="1"/>
  <c r="F53" i="121"/>
  <c r="E110" i="121" s="1"/>
  <c r="D108" i="121"/>
  <c r="D93" i="121"/>
  <c r="D92" i="121"/>
  <c r="D90" i="121"/>
  <c r="D78" i="121"/>
  <c r="E78" i="121" s="1"/>
  <c r="F78" i="121" s="1"/>
  <c r="E75" i="121"/>
  <c r="F75" i="121" s="1"/>
  <c r="D75" i="121"/>
  <c r="D74" i="121"/>
  <c r="D79" i="121" s="1"/>
  <c r="D80" i="121" s="1"/>
  <c r="D58" i="121"/>
  <c r="E58" i="121" s="1"/>
  <c r="F58" i="121" s="1"/>
  <c r="E57" i="121"/>
  <c r="F57" i="121" s="1"/>
  <c r="D55" i="121"/>
  <c r="E55" i="121" s="1"/>
  <c r="F55" i="121" s="1"/>
  <c r="C55" i="121"/>
  <c r="D53" i="121"/>
  <c r="D110" i="121" s="1"/>
  <c r="D40" i="121"/>
  <c r="D62" i="121" s="1"/>
  <c r="E38" i="121"/>
  <c r="F38" i="121" s="1"/>
  <c r="G38" i="121" s="1"/>
  <c r="H38" i="121" s="1"/>
  <c r="F37" i="121"/>
  <c r="J37" i="121" s="1"/>
  <c r="E37" i="121"/>
  <c r="D35" i="121"/>
  <c r="D59" i="121" s="1"/>
  <c r="D77" i="121" s="1"/>
  <c r="J34" i="121"/>
  <c r="J33" i="121"/>
  <c r="F33" i="121"/>
  <c r="E33" i="121"/>
  <c r="E56" i="121" s="1"/>
  <c r="F56" i="121" s="1"/>
  <c r="D33" i="121"/>
  <c r="C33" i="121"/>
  <c r="C56" i="121" s="1"/>
  <c r="C32" i="121"/>
  <c r="D31" i="121"/>
  <c r="G31" i="121" s="1"/>
  <c r="C31" i="121"/>
  <c r="C54" i="121" s="1"/>
  <c r="D30" i="121"/>
  <c r="F30" i="121" s="1"/>
  <c r="F29" i="121"/>
  <c r="E29" i="121"/>
  <c r="D29" i="121"/>
  <c r="D13" i="121"/>
  <c r="D11" i="121"/>
  <c r="E11" i="121" s="1"/>
  <c r="J10" i="121"/>
  <c r="D10" i="121"/>
  <c r="D34" i="121" s="1"/>
  <c r="E34" i="121" s="1"/>
  <c r="F34" i="121" s="1"/>
  <c r="G34" i="121" s="1"/>
  <c r="H34" i="121" s="1"/>
  <c r="J9" i="121"/>
  <c r="I9" i="121"/>
  <c r="F9" i="121"/>
  <c r="E9" i="121"/>
  <c r="D9" i="121"/>
  <c r="D56" i="121" s="1"/>
  <c r="C9" i="121"/>
  <c r="F8" i="121"/>
  <c r="I8" i="121" s="1"/>
  <c r="J8" i="121" s="1"/>
  <c r="E8" i="121"/>
  <c r="D8" i="121"/>
  <c r="C8" i="121"/>
  <c r="E7" i="121"/>
  <c r="J7" i="121" s="1"/>
  <c r="E54" i="121" s="1"/>
  <c r="F54" i="121" s="1"/>
  <c r="D7" i="121"/>
  <c r="D76" i="121" s="1"/>
  <c r="D91" i="121" s="1"/>
  <c r="C7" i="121"/>
  <c r="E6" i="121"/>
  <c r="F6" i="121" s="1"/>
  <c r="D6" i="121"/>
  <c r="D89" i="121" s="1"/>
  <c r="D94" i="121" s="1"/>
  <c r="C28" i="121"/>
  <c r="C51" i="121" s="1"/>
  <c r="C72" i="121" s="1"/>
  <c r="C87" i="121" s="1"/>
  <c r="F110" i="121" l="1"/>
  <c r="L110" i="121" s="1"/>
  <c r="J30" i="121"/>
  <c r="E111" i="121"/>
  <c r="J6" i="121"/>
  <c r="I6" i="121"/>
  <c r="E107" i="121"/>
  <c r="F11" i="121"/>
  <c r="E35" i="121"/>
  <c r="E59" i="121" s="1"/>
  <c r="E77" i="121" s="1"/>
  <c r="J38" i="121"/>
  <c r="D36" i="121"/>
  <c r="D39" i="121" s="1"/>
  <c r="G37" i="121"/>
  <c r="H37" i="121" s="1"/>
  <c r="E74" i="121"/>
  <c r="E79" i="121" s="1"/>
  <c r="E80" i="121" s="1"/>
  <c r="F7" i="121"/>
  <c r="I7" i="121" s="1"/>
  <c r="E10" i="121"/>
  <c r="F10" i="121" s="1"/>
  <c r="D12" i="121"/>
  <c r="E31" i="121"/>
  <c r="F31" i="121" s="1"/>
  <c r="E53" i="121"/>
  <c r="E60" i="121" s="1"/>
  <c r="E61" i="121" s="1"/>
  <c r="F74" i="121"/>
  <c r="F79" i="121" s="1"/>
  <c r="F80" i="121" s="1"/>
  <c r="D81" i="121"/>
  <c r="D107" i="121"/>
  <c r="F107" i="121" s="1"/>
  <c r="L107" i="121" s="1"/>
  <c r="D109" i="121"/>
  <c r="D111" i="121"/>
  <c r="F111" i="121" s="1"/>
  <c r="L111" i="121" s="1"/>
  <c r="E30" i="121"/>
  <c r="E36" i="121" s="1"/>
  <c r="E39" i="121" s="1"/>
  <c r="D54" i="121"/>
  <c r="D60" i="121" s="1"/>
  <c r="D61" i="121" s="1"/>
  <c r="E108" i="121" l="1"/>
  <c r="F108" i="121" s="1"/>
  <c r="L108" i="121" s="1"/>
  <c r="J31" i="121"/>
  <c r="H31" i="121"/>
  <c r="F36" i="121"/>
  <c r="F39" i="121" s="1"/>
  <c r="I11" i="121"/>
  <c r="F35" i="121"/>
  <c r="F59" i="121" s="1"/>
  <c r="F109" i="121"/>
  <c r="L109" i="121" s="1"/>
  <c r="F12" i="121"/>
  <c r="E12" i="121"/>
  <c r="D93" i="120"/>
  <c r="D92" i="120"/>
  <c r="D90" i="120"/>
  <c r="D78" i="120"/>
  <c r="E78" i="120" s="1"/>
  <c r="F78" i="120" s="1"/>
  <c r="E75" i="120"/>
  <c r="F75" i="120" s="1"/>
  <c r="D75" i="120"/>
  <c r="D58" i="120"/>
  <c r="E58" i="120" s="1"/>
  <c r="F58" i="120" s="1"/>
  <c r="E57" i="120"/>
  <c r="F57" i="120" s="1"/>
  <c r="E55" i="120"/>
  <c r="F55" i="120" s="1"/>
  <c r="D55" i="120"/>
  <c r="F53" i="120"/>
  <c r="E110" i="120" s="1"/>
  <c r="D40" i="120"/>
  <c r="D62" i="120" s="1"/>
  <c r="E38" i="120"/>
  <c r="F38" i="120" s="1"/>
  <c r="G38" i="120" s="1"/>
  <c r="H38" i="120" s="1"/>
  <c r="E37" i="120"/>
  <c r="F37" i="120" s="1"/>
  <c r="E35" i="120"/>
  <c r="E59" i="120" s="1"/>
  <c r="E77" i="120" s="1"/>
  <c r="D35" i="120"/>
  <c r="D59" i="120" s="1"/>
  <c r="D77" i="120" s="1"/>
  <c r="J34" i="120"/>
  <c r="E33" i="120"/>
  <c r="E56" i="120" s="1"/>
  <c r="F56" i="120" s="1"/>
  <c r="C32" i="120"/>
  <c r="C55" i="120" s="1"/>
  <c r="G31" i="120"/>
  <c r="E31" i="120"/>
  <c r="F31" i="120" s="1"/>
  <c r="D31" i="120"/>
  <c r="F29" i="120"/>
  <c r="E29" i="120"/>
  <c r="D29" i="120"/>
  <c r="D13" i="120"/>
  <c r="F11" i="120"/>
  <c r="F35" i="120" s="1"/>
  <c r="F59" i="120" s="1"/>
  <c r="F77" i="120" s="1"/>
  <c r="E11" i="120"/>
  <c r="D11" i="120"/>
  <c r="J10" i="120"/>
  <c r="E10" i="120"/>
  <c r="F10" i="120" s="1"/>
  <c r="D10" i="120"/>
  <c r="D34" i="120" s="1"/>
  <c r="E34" i="120" s="1"/>
  <c r="F34" i="120" s="1"/>
  <c r="G34" i="120" s="1"/>
  <c r="H34" i="120" s="1"/>
  <c r="J9" i="120"/>
  <c r="I9" i="120"/>
  <c r="F9" i="120"/>
  <c r="F33" i="120" s="1"/>
  <c r="J33" i="120" s="1"/>
  <c r="E9" i="120"/>
  <c r="D9" i="120"/>
  <c r="D56" i="120" s="1"/>
  <c r="C9" i="120"/>
  <c r="C33" i="120" s="1"/>
  <c r="C56" i="120" s="1"/>
  <c r="E8" i="120"/>
  <c r="F8" i="120" s="1"/>
  <c r="I8" i="120" s="1"/>
  <c r="J8" i="120" s="1"/>
  <c r="D8" i="120"/>
  <c r="C8" i="120"/>
  <c r="F7" i="120"/>
  <c r="I7" i="120" s="1"/>
  <c r="E7" i="120"/>
  <c r="J7" i="120" s="1"/>
  <c r="E54" i="120" s="1"/>
  <c r="F54" i="120" s="1"/>
  <c r="D7" i="120"/>
  <c r="D76" i="120" s="1"/>
  <c r="D91" i="120" s="1"/>
  <c r="C7" i="120"/>
  <c r="C31" i="120" s="1"/>
  <c r="C54" i="120" s="1"/>
  <c r="D6" i="120"/>
  <c r="E6" i="120" s="1"/>
  <c r="C4" i="120"/>
  <c r="C28" i="120" s="1"/>
  <c r="C51" i="120" s="1"/>
  <c r="C72" i="120" s="1"/>
  <c r="C87" i="120" s="1"/>
  <c r="G35" i="121" l="1"/>
  <c r="G36" i="121" s="1"/>
  <c r="G39" i="121" s="1"/>
  <c r="J11" i="121"/>
  <c r="I12" i="121"/>
  <c r="F77" i="121"/>
  <c r="F60" i="121"/>
  <c r="F61" i="121" s="1"/>
  <c r="F60" i="120"/>
  <c r="F61" i="120" s="1"/>
  <c r="J31" i="120"/>
  <c r="H31" i="120"/>
  <c r="J37" i="120"/>
  <c r="G37" i="120"/>
  <c r="H37" i="120" s="1"/>
  <c r="J38" i="120"/>
  <c r="F6" i="120"/>
  <c r="D109" i="120"/>
  <c r="D107" i="120"/>
  <c r="E12" i="120"/>
  <c r="I11" i="120"/>
  <c r="D74" i="120"/>
  <c r="D33" i="120"/>
  <c r="D81" i="120"/>
  <c r="D54" i="120"/>
  <c r="D89" i="120"/>
  <c r="D94" i="120" s="1"/>
  <c r="D12" i="120"/>
  <c r="H35" i="121" l="1"/>
  <c r="H36" i="121" s="1"/>
  <c r="H39" i="121" s="1"/>
  <c r="J35" i="121"/>
  <c r="J36" i="121" s="1"/>
  <c r="J39" i="121" s="1"/>
  <c r="J12" i="121"/>
  <c r="D79" i="120"/>
  <c r="D80" i="120" s="1"/>
  <c r="F74" i="120"/>
  <c r="F79" i="120" s="1"/>
  <c r="F80" i="120" s="1"/>
  <c r="E74" i="120"/>
  <c r="E79" i="120" s="1"/>
  <c r="E80" i="120" s="1"/>
  <c r="J6" i="120"/>
  <c r="F12" i="120"/>
  <c r="I6" i="120"/>
  <c r="I12" i="120" s="1"/>
  <c r="E107" i="120"/>
  <c r="F107" i="120" s="1"/>
  <c r="L107" i="120" s="1"/>
  <c r="E109" i="120"/>
  <c r="F109" i="120" s="1"/>
  <c r="L109" i="120" s="1"/>
  <c r="G35" i="120"/>
  <c r="G36" i="120" s="1"/>
  <c r="G39" i="120" s="1"/>
  <c r="J11" i="120"/>
  <c r="H35" i="120" l="1"/>
  <c r="H36" i="120" s="1"/>
  <c r="H39" i="120" s="1"/>
  <c r="J35" i="120"/>
  <c r="J12" i="120"/>
  <c r="E108" i="120"/>
  <c r="F7" i="1"/>
  <c r="D92" i="118" l="1"/>
  <c r="D90" i="118"/>
  <c r="E78" i="118"/>
  <c r="F78" i="118" s="1"/>
  <c r="D78" i="118"/>
  <c r="D75" i="118"/>
  <c r="E75" i="118" s="1"/>
  <c r="F75" i="118" s="1"/>
  <c r="D58" i="118"/>
  <c r="E58" i="118" s="1"/>
  <c r="F58" i="118" s="1"/>
  <c r="E57" i="118"/>
  <c r="F57" i="118" s="1"/>
  <c r="D55" i="118"/>
  <c r="E55" i="118" s="1"/>
  <c r="F55" i="118" s="1"/>
  <c r="F53" i="118"/>
  <c r="E38" i="118"/>
  <c r="F38" i="118" s="1"/>
  <c r="G38" i="118" s="1"/>
  <c r="H38" i="118" s="1"/>
  <c r="E37" i="118"/>
  <c r="F37" i="118" s="1"/>
  <c r="J34" i="118"/>
  <c r="F31" i="118"/>
  <c r="J31" i="118" s="1"/>
  <c r="E31" i="118"/>
  <c r="D31" i="118"/>
  <c r="G31" i="118" s="1"/>
  <c r="F29" i="118"/>
  <c r="E29" i="118"/>
  <c r="D29" i="118"/>
  <c r="D11" i="118"/>
  <c r="D35" i="118" s="1"/>
  <c r="D59" i="118" s="1"/>
  <c r="D77" i="118" s="1"/>
  <c r="J10" i="118"/>
  <c r="D10" i="118"/>
  <c r="D34" i="118" s="1"/>
  <c r="E34" i="118" s="1"/>
  <c r="F34" i="118" s="1"/>
  <c r="G34" i="118" s="1"/>
  <c r="H34" i="118" s="1"/>
  <c r="F9" i="118"/>
  <c r="F33" i="118" s="1"/>
  <c r="J33" i="118" s="1"/>
  <c r="E9" i="118"/>
  <c r="E33" i="118" s="1"/>
  <c r="E56" i="118" s="1"/>
  <c r="F56" i="118" s="1"/>
  <c r="D9" i="118"/>
  <c r="D56" i="118" s="1"/>
  <c r="E8" i="118"/>
  <c r="F8" i="118" s="1"/>
  <c r="I8" i="118" s="1"/>
  <c r="J8" i="118" s="1"/>
  <c r="D8" i="118"/>
  <c r="F7" i="118"/>
  <c r="I7" i="118" s="1"/>
  <c r="E7" i="118"/>
  <c r="J7" i="118" s="1"/>
  <c r="E54" i="118" s="1"/>
  <c r="F54" i="118" s="1"/>
  <c r="D7" i="118"/>
  <c r="D76" i="118" s="1"/>
  <c r="D91" i="118" s="1"/>
  <c r="D6" i="118"/>
  <c r="D12" i="118" s="1"/>
  <c r="C28" i="118"/>
  <c r="C51" i="118" s="1"/>
  <c r="C72" i="118" s="1"/>
  <c r="C87" i="118" s="1"/>
  <c r="I9" i="118" l="1"/>
  <c r="E6" i="118"/>
  <c r="F6" i="118" s="1"/>
  <c r="E10" i="118"/>
  <c r="F10" i="118" s="1"/>
  <c r="E11" i="118"/>
  <c r="G37" i="118"/>
  <c r="H37" i="118" s="1"/>
  <c r="J37" i="118"/>
  <c r="J38" i="118"/>
  <c r="J9" i="118"/>
  <c r="D74" i="118"/>
  <c r="E110" i="118"/>
  <c r="H31" i="118"/>
  <c r="D33" i="118"/>
  <c r="D54" i="118"/>
  <c r="D89" i="118"/>
  <c r="D94" i="118" s="1"/>
  <c r="D109" i="118" l="1"/>
  <c r="D107" i="118"/>
  <c r="E35" i="118"/>
  <c r="E59" i="118" s="1"/>
  <c r="E77" i="118" s="1"/>
  <c r="F11" i="118"/>
  <c r="E12" i="118"/>
  <c r="J6" i="118"/>
  <c r="I6" i="118"/>
  <c r="E107" i="118"/>
  <c r="F107" i="118" s="1"/>
  <c r="L107" i="118" s="1"/>
  <c r="F12" i="118"/>
  <c r="F74" i="118"/>
  <c r="F79" i="118" s="1"/>
  <c r="F80" i="118" s="1"/>
  <c r="D79" i="118"/>
  <c r="D80" i="118" s="1"/>
  <c r="E74" i="118"/>
  <c r="E79" i="118" s="1"/>
  <c r="E80" i="118" s="1"/>
  <c r="E109" i="118"/>
  <c r="F109" i="118" s="1"/>
  <c r="L109" i="118" s="1"/>
  <c r="F53" i="117"/>
  <c r="F35" i="118" l="1"/>
  <c r="F59" i="118" s="1"/>
  <c r="I11" i="118"/>
  <c r="I12" i="118"/>
  <c r="E108" i="118"/>
  <c r="G35" i="118" l="1"/>
  <c r="G36" i="118" s="1"/>
  <c r="G39" i="118" s="1"/>
  <c r="J11" i="118"/>
  <c r="F77" i="118"/>
  <c r="F60" i="118"/>
  <c r="F61" i="118" s="1"/>
  <c r="E110" i="117"/>
  <c r="H35" i="118" l="1"/>
  <c r="H36" i="118" s="1"/>
  <c r="H39" i="118" s="1"/>
  <c r="J35" i="118"/>
  <c r="J12" i="118"/>
  <c r="D92" i="117"/>
  <c r="D90" i="117"/>
  <c r="E78" i="117"/>
  <c r="F78" i="117" s="1"/>
  <c r="D78" i="117"/>
  <c r="D75" i="117"/>
  <c r="E75" i="117" s="1"/>
  <c r="F75" i="117" s="1"/>
  <c r="D58" i="117"/>
  <c r="E58" i="117" s="1"/>
  <c r="F58" i="117" s="1"/>
  <c r="E57" i="117"/>
  <c r="F57" i="117" s="1"/>
  <c r="D55" i="117"/>
  <c r="E55" i="117" s="1"/>
  <c r="F55" i="117" s="1"/>
  <c r="E38" i="117"/>
  <c r="F38" i="117" s="1"/>
  <c r="G38" i="117" s="1"/>
  <c r="H38" i="117" s="1"/>
  <c r="E37" i="117"/>
  <c r="F37" i="117" s="1"/>
  <c r="J34" i="117"/>
  <c r="F31" i="117"/>
  <c r="J31" i="117" s="1"/>
  <c r="E31" i="117"/>
  <c r="D31" i="117"/>
  <c r="G31" i="117" s="1"/>
  <c r="F29" i="117"/>
  <c r="E29" i="117"/>
  <c r="D29" i="117"/>
  <c r="D11" i="117"/>
  <c r="D35" i="117" s="1"/>
  <c r="D59" i="117" s="1"/>
  <c r="D77" i="117" s="1"/>
  <c r="J10" i="117"/>
  <c r="E10" i="117"/>
  <c r="F10" i="117" s="1"/>
  <c r="D10" i="117"/>
  <c r="D34" i="117" s="1"/>
  <c r="E34" i="117" s="1"/>
  <c r="F34" i="117" s="1"/>
  <c r="G34" i="117" s="1"/>
  <c r="H34" i="117" s="1"/>
  <c r="F9" i="117"/>
  <c r="I9" i="117" s="1"/>
  <c r="E9" i="117"/>
  <c r="E33" i="117" s="1"/>
  <c r="E56" i="117" s="1"/>
  <c r="F56" i="117" s="1"/>
  <c r="D9" i="117"/>
  <c r="D56" i="117" s="1"/>
  <c r="E8" i="117"/>
  <c r="F8" i="117" s="1"/>
  <c r="I8" i="117" s="1"/>
  <c r="J8" i="117" s="1"/>
  <c r="D8" i="117"/>
  <c r="E7" i="117"/>
  <c r="J7" i="117" s="1"/>
  <c r="E54" i="117" s="1"/>
  <c r="F54" i="117" s="1"/>
  <c r="D7" i="117"/>
  <c r="D76" i="117" s="1"/>
  <c r="D91" i="117" s="1"/>
  <c r="D6" i="117"/>
  <c r="D12" i="117" l="1"/>
  <c r="E11" i="117"/>
  <c r="E35" i="117" s="1"/>
  <c r="E59" i="117" s="1"/>
  <c r="E77" i="117" s="1"/>
  <c r="E6" i="117"/>
  <c r="F7" i="117"/>
  <c r="I7" i="117" s="1"/>
  <c r="F33" i="117"/>
  <c r="J33" i="117" s="1"/>
  <c r="G37" i="117"/>
  <c r="H37" i="117" s="1"/>
  <c r="J37" i="117"/>
  <c r="J38" i="117"/>
  <c r="D107" i="117"/>
  <c r="F6" i="117"/>
  <c r="J9" i="117"/>
  <c r="D74" i="117"/>
  <c r="H31" i="117"/>
  <c r="D33" i="117"/>
  <c r="D54" i="117"/>
  <c r="D89" i="117"/>
  <c r="D94" i="117" s="1"/>
  <c r="F11" i="117" l="1"/>
  <c r="E12" i="117"/>
  <c r="D109" i="117"/>
  <c r="E109" i="117" s="1"/>
  <c r="J6" i="117"/>
  <c r="I6" i="117"/>
  <c r="E107" i="117"/>
  <c r="F107" i="117" s="1"/>
  <c r="L107" i="117" s="1"/>
  <c r="F12" i="117"/>
  <c r="F74" i="117"/>
  <c r="F79" i="117" s="1"/>
  <c r="F80" i="117" s="1"/>
  <c r="D79" i="117"/>
  <c r="D80" i="117" s="1"/>
  <c r="E74" i="117"/>
  <c r="E79" i="117" s="1"/>
  <c r="E80" i="117" s="1"/>
  <c r="F109" i="117"/>
  <c r="L109" i="117" s="1"/>
  <c r="F35" i="117" l="1"/>
  <c r="F59" i="117" s="1"/>
  <c r="I11" i="117"/>
  <c r="E108" i="117"/>
  <c r="K217" i="114"/>
  <c r="J11" i="117" l="1"/>
  <c r="G35" i="117"/>
  <c r="G36" i="117" s="1"/>
  <c r="G39" i="117" s="1"/>
  <c r="F77" i="117"/>
  <c r="F60" i="117"/>
  <c r="F61" i="117" s="1"/>
  <c r="I12" i="117"/>
  <c r="J35" i="117" l="1"/>
  <c r="J12" i="117"/>
  <c r="H35" i="117"/>
  <c r="H36" i="117" s="1"/>
  <c r="H39" i="117" s="1"/>
  <c r="E8" i="4" l="1"/>
  <c r="D30" i="120" s="1"/>
  <c r="C8" i="4"/>
  <c r="F30" i="120" l="1"/>
  <c r="D36" i="120"/>
  <c r="D39" i="120" s="1"/>
  <c r="D111" i="120"/>
  <c r="E30" i="120"/>
  <c r="E36" i="120" s="1"/>
  <c r="E39" i="120" s="1"/>
  <c r="D30" i="118"/>
  <c r="D30" i="117"/>
  <c r="E111" i="120" l="1"/>
  <c r="F111" i="120" s="1"/>
  <c r="L111" i="120" s="1"/>
  <c r="J30" i="120"/>
  <c r="J36" i="120" s="1"/>
  <c r="J39" i="120" s="1"/>
  <c r="F36" i="120"/>
  <c r="F39" i="120" s="1"/>
  <c r="F30" i="117"/>
  <c r="D111" i="117"/>
  <c r="E30" i="117"/>
  <c r="E36" i="117" s="1"/>
  <c r="E39" i="117" s="1"/>
  <c r="D36" i="117"/>
  <c r="D39" i="117" s="1"/>
  <c r="F30" i="118"/>
  <c r="E30" i="118"/>
  <c r="E36" i="118" s="1"/>
  <c r="E39" i="118" s="1"/>
  <c r="D111" i="118"/>
  <c r="D36" i="118"/>
  <c r="D39" i="118" s="1"/>
  <c r="U11" i="70"/>
  <c r="T11" i="70"/>
  <c r="S11" i="70"/>
  <c r="R11" i="70"/>
  <c r="Q11" i="70"/>
  <c r="P11" i="70"/>
  <c r="O11" i="70"/>
  <c r="N11" i="70"/>
  <c r="I7" i="70"/>
  <c r="J7" i="70" s="1"/>
  <c r="J9" i="70" s="1"/>
  <c r="E111" i="118" l="1"/>
  <c r="F111" i="118" s="1"/>
  <c r="L111" i="118" s="1"/>
  <c r="J30" i="118"/>
  <c r="J36" i="118" s="1"/>
  <c r="J39" i="118" s="1"/>
  <c r="F36" i="118"/>
  <c r="F39" i="118" s="1"/>
  <c r="E111" i="117"/>
  <c r="F111" i="117" s="1"/>
  <c r="L111" i="117" s="1"/>
  <c r="J30" i="117"/>
  <c r="J36" i="117" s="1"/>
  <c r="J39" i="117" s="1"/>
  <c r="F36" i="117"/>
  <c r="F39" i="117" s="1"/>
  <c r="I9" i="70"/>
  <c r="E11" i="1" l="1"/>
  <c r="C11" i="1"/>
  <c r="B11" i="1"/>
  <c r="C32" i="106"/>
  <c r="C21" i="106"/>
  <c r="D7" i="1" l="1"/>
  <c r="K75" i="114" l="1"/>
  <c r="K73" i="114"/>
  <c r="H11" i="4"/>
  <c r="K78" i="114" s="1"/>
  <c r="K74" i="114"/>
  <c r="B8" i="1" l="1"/>
  <c r="B6" i="95" l="1"/>
  <c r="D6" i="1" l="1"/>
  <c r="A2" i="116" l="1"/>
  <c r="E13" i="116"/>
  <c r="F13" i="116" s="1"/>
  <c r="E7" i="116"/>
  <c r="C13" i="116"/>
  <c r="D13" i="116" s="1"/>
  <c r="C7" i="116"/>
  <c r="B7" i="116"/>
  <c r="F7" i="116" l="1"/>
  <c r="D7" i="116"/>
  <c r="D8" i="4"/>
  <c r="K65" i="114" l="1"/>
  <c r="D9" i="70" l="1"/>
  <c r="K60" i="114" l="1"/>
  <c r="K70" i="114" s="1"/>
  <c r="K83" i="114" s="1"/>
  <c r="K81" i="114" l="1"/>
  <c r="C17" i="70"/>
  <c r="D17" i="70" s="1"/>
  <c r="I17" i="70" s="1"/>
  <c r="I16" i="70"/>
  <c r="H16" i="70"/>
  <c r="G16" i="70"/>
  <c r="F16" i="70"/>
  <c r="E16" i="70"/>
  <c r="D16" i="70"/>
  <c r="F15" i="70"/>
  <c r="B15" i="70"/>
  <c r="D15" i="70" s="1"/>
  <c r="I15" i="70" s="1"/>
  <c r="J15" i="70" s="1"/>
  <c r="C14" i="70"/>
  <c r="B14" i="70"/>
  <c r="D14" i="70" s="1"/>
  <c r="E14" i="70" s="1"/>
  <c r="G14" i="70" s="1"/>
  <c r="I14" i="70" s="1"/>
  <c r="F13" i="70"/>
  <c r="G13" i="70" s="1"/>
  <c r="D13" i="70"/>
  <c r="B13" i="70"/>
  <c r="A13" i="70"/>
  <c r="H11" i="70"/>
  <c r="F11" i="70"/>
  <c r="E11" i="70"/>
  <c r="D11" i="70"/>
  <c r="J11" i="70" s="1"/>
  <c r="C11" i="70"/>
  <c r="G11" i="70" s="1"/>
  <c r="G9" i="70"/>
  <c r="F9" i="70"/>
  <c r="B9" i="70"/>
  <c r="J8" i="70"/>
  <c r="I8" i="70"/>
  <c r="C8" i="70"/>
  <c r="C9" i="70" s="1"/>
  <c r="A5" i="70"/>
  <c r="F18" i="4"/>
  <c r="E18" i="4"/>
  <c r="D18" i="4"/>
  <c r="F17" i="4"/>
  <c r="E17" i="4"/>
  <c r="D17" i="4"/>
  <c r="F16" i="4"/>
  <c r="E16" i="4"/>
  <c r="E14" i="4"/>
  <c r="D14" i="4"/>
  <c r="C14" i="4"/>
  <c r="E12" i="4"/>
  <c r="F12" i="4" s="1"/>
  <c r="D12" i="4"/>
  <c r="C12" i="4"/>
  <c r="E11" i="4"/>
  <c r="F11" i="4" s="1"/>
  <c r="D11" i="4"/>
  <c r="C11" i="4"/>
  <c r="C10" i="4"/>
  <c r="D10" i="4" s="1"/>
  <c r="E9" i="4"/>
  <c r="D9" i="4"/>
  <c r="F9" i="4" s="1"/>
  <c r="B22" i="108"/>
  <c r="C22" i="108" s="1"/>
  <c r="D22" i="108" s="1"/>
  <c r="E22" i="108" s="1"/>
  <c r="F22" i="108" s="1"/>
  <c r="G22" i="108" s="1"/>
  <c r="H22" i="108" s="1"/>
  <c r="I22" i="108" s="1"/>
  <c r="J22" i="108" s="1"/>
  <c r="K22" i="108" s="1"/>
  <c r="L22" i="108" s="1"/>
  <c r="M22" i="108" s="1"/>
  <c r="N22" i="108" s="1"/>
  <c r="O22" i="108" s="1"/>
  <c r="P22" i="108" s="1"/>
  <c r="C21" i="108"/>
  <c r="B20" i="108"/>
  <c r="C20" i="108" s="1"/>
  <c r="D20" i="108" s="1"/>
  <c r="E20" i="108" s="1"/>
  <c r="F20" i="108" s="1"/>
  <c r="G20" i="108" s="1"/>
  <c r="H20" i="108" s="1"/>
  <c r="I20" i="108" s="1"/>
  <c r="J20" i="108" s="1"/>
  <c r="K20" i="108" s="1"/>
  <c r="L20" i="108" s="1"/>
  <c r="M20" i="108" s="1"/>
  <c r="N20" i="108" s="1"/>
  <c r="O20" i="108" s="1"/>
  <c r="P20" i="108" s="1"/>
  <c r="C19" i="108"/>
  <c r="D19" i="108" s="1"/>
  <c r="E19" i="108" s="1"/>
  <c r="F19" i="108" s="1"/>
  <c r="G19" i="108" s="1"/>
  <c r="H19" i="108" s="1"/>
  <c r="I19" i="108" s="1"/>
  <c r="J19" i="108" s="1"/>
  <c r="K19" i="108" s="1"/>
  <c r="L19" i="108" s="1"/>
  <c r="M19" i="108" s="1"/>
  <c r="N19" i="108" s="1"/>
  <c r="O19" i="108" s="1"/>
  <c r="P19" i="108" s="1"/>
  <c r="B19" i="108"/>
  <c r="B18" i="108"/>
  <c r="C18" i="108" s="1"/>
  <c r="D18" i="108" s="1"/>
  <c r="E18" i="108" s="1"/>
  <c r="F18" i="108" s="1"/>
  <c r="G18" i="108" s="1"/>
  <c r="H18" i="108" s="1"/>
  <c r="I18" i="108" s="1"/>
  <c r="J18" i="108" s="1"/>
  <c r="K18" i="108" s="1"/>
  <c r="L18" i="108" s="1"/>
  <c r="M18" i="108" s="1"/>
  <c r="N18" i="108" s="1"/>
  <c r="O18" i="108" s="1"/>
  <c r="P18" i="108" s="1"/>
  <c r="B17" i="108"/>
  <c r="C17" i="108" s="1"/>
  <c r="D17" i="108" s="1"/>
  <c r="E17" i="108" s="1"/>
  <c r="F17" i="108" s="1"/>
  <c r="G17" i="108" s="1"/>
  <c r="H17" i="108" s="1"/>
  <c r="I17" i="108" s="1"/>
  <c r="J17" i="108" s="1"/>
  <c r="K17" i="108" s="1"/>
  <c r="L17" i="108" s="1"/>
  <c r="M17" i="108" s="1"/>
  <c r="N17" i="108" s="1"/>
  <c r="O17" i="108" s="1"/>
  <c r="P17" i="108" s="1"/>
  <c r="G15" i="108"/>
  <c r="P15" i="108" s="1"/>
  <c r="B14" i="108"/>
  <c r="C14" i="108" s="1"/>
  <c r="D14" i="108" s="1"/>
  <c r="E14" i="108" s="1"/>
  <c r="F14" i="108" s="1"/>
  <c r="G14" i="108" s="1"/>
  <c r="H14" i="108" s="1"/>
  <c r="I14" i="108" s="1"/>
  <c r="J14" i="108" s="1"/>
  <c r="K14" i="108" s="1"/>
  <c r="L14" i="108" s="1"/>
  <c r="M14" i="108" s="1"/>
  <c r="N14" i="108" s="1"/>
  <c r="O14" i="108" s="1"/>
  <c r="P14" i="108" s="1"/>
  <c r="B13" i="108"/>
  <c r="C13" i="108" s="1"/>
  <c r="D13" i="108" s="1"/>
  <c r="E13" i="108" s="1"/>
  <c r="F13" i="108" s="1"/>
  <c r="G13" i="108" s="1"/>
  <c r="H13" i="108" s="1"/>
  <c r="I13" i="108" s="1"/>
  <c r="J13" i="108" s="1"/>
  <c r="K13" i="108" s="1"/>
  <c r="L13" i="108" s="1"/>
  <c r="M13" i="108" s="1"/>
  <c r="N13" i="108" s="1"/>
  <c r="O13" i="108" s="1"/>
  <c r="P13" i="108" s="1"/>
  <c r="E12" i="108"/>
  <c r="P8" i="108"/>
  <c r="O8" i="108"/>
  <c r="N8" i="108"/>
  <c r="M8" i="108"/>
  <c r="L8" i="108"/>
  <c r="K8" i="108"/>
  <c r="J8" i="108"/>
  <c r="I8" i="108"/>
  <c r="H8" i="108"/>
  <c r="G8" i="108"/>
  <c r="F8" i="108"/>
  <c r="E8" i="108"/>
  <c r="D8" i="108"/>
  <c r="C8" i="108"/>
  <c r="B8" i="108"/>
  <c r="G16" i="95"/>
  <c r="F16" i="95"/>
  <c r="G15" i="95"/>
  <c r="F15" i="95"/>
  <c r="E15" i="95"/>
  <c r="D15" i="95"/>
  <c r="A13" i="95"/>
  <c r="C12" i="95"/>
  <c r="D12" i="95" s="1"/>
  <c r="E12" i="95" s="1"/>
  <c r="A12" i="95"/>
  <c r="A11" i="95"/>
  <c r="G9" i="95"/>
  <c r="F9" i="95"/>
  <c r="K197" i="114" s="1"/>
  <c r="E9" i="95"/>
  <c r="C7" i="95"/>
  <c r="G8" i="95" s="1"/>
  <c r="A2" i="95"/>
  <c r="K124" i="114"/>
  <c r="B19" i="107"/>
  <c r="C19" i="107" s="1"/>
  <c r="D19" i="107" s="1"/>
  <c r="E19" i="107" s="1"/>
  <c r="F19" i="107" s="1"/>
  <c r="G19" i="107" s="1"/>
  <c r="H19" i="107" s="1"/>
  <c r="I19" i="107" s="1"/>
  <c r="J19" i="107" s="1"/>
  <c r="K19" i="107" s="1"/>
  <c r="L19" i="107" s="1"/>
  <c r="M19" i="107" s="1"/>
  <c r="N19" i="107" s="1"/>
  <c r="O19" i="107" s="1"/>
  <c r="P19" i="107" s="1"/>
  <c r="B18" i="107"/>
  <c r="C18" i="107" s="1"/>
  <c r="D18" i="107" s="1"/>
  <c r="E18" i="107" s="1"/>
  <c r="F18" i="107" s="1"/>
  <c r="G18" i="107" s="1"/>
  <c r="H18" i="107" s="1"/>
  <c r="I18" i="107" s="1"/>
  <c r="J18" i="107" s="1"/>
  <c r="K18" i="107" s="1"/>
  <c r="L18" i="107" s="1"/>
  <c r="M18" i="107" s="1"/>
  <c r="N18" i="107" s="1"/>
  <c r="O18" i="107" s="1"/>
  <c r="P18" i="107" s="1"/>
  <c r="C17" i="107"/>
  <c r="D17" i="107" s="1"/>
  <c r="E17" i="107" s="1"/>
  <c r="F17" i="107" s="1"/>
  <c r="G17" i="107" s="1"/>
  <c r="H17" i="107" s="1"/>
  <c r="I17" i="107" s="1"/>
  <c r="J17" i="107" s="1"/>
  <c r="K17" i="107" s="1"/>
  <c r="L17" i="107" s="1"/>
  <c r="M17" i="107" s="1"/>
  <c r="N17" i="107" s="1"/>
  <c r="O17" i="107" s="1"/>
  <c r="P17" i="107" s="1"/>
  <c r="B17" i="107"/>
  <c r="B16" i="107"/>
  <c r="C16" i="107" s="1"/>
  <c r="D16" i="107" s="1"/>
  <c r="E16" i="107" s="1"/>
  <c r="F16" i="107" s="1"/>
  <c r="G16" i="107" s="1"/>
  <c r="H16" i="107" s="1"/>
  <c r="I16" i="107" s="1"/>
  <c r="J16" i="107" s="1"/>
  <c r="K16" i="107" s="1"/>
  <c r="L16" i="107" s="1"/>
  <c r="M16" i="107" s="1"/>
  <c r="N16" i="107" s="1"/>
  <c r="O16" i="107" s="1"/>
  <c r="P16" i="107" s="1"/>
  <c r="B15" i="107"/>
  <c r="C15" i="107" s="1"/>
  <c r="D15" i="107" s="1"/>
  <c r="E15" i="107" s="1"/>
  <c r="F15" i="107" s="1"/>
  <c r="G15" i="107" s="1"/>
  <c r="H15" i="107" s="1"/>
  <c r="I15" i="107" s="1"/>
  <c r="J15" i="107" s="1"/>
  <c r="K15" i="107" s="1"/>
  <c r="L15" i="107" s="1"/>
  <c r="M15" i="107" s="1"/>
  <c r="N15" i="107" s="1"/>
  <c r="O15" i="107" s="1"/>
  <c r="P15" i="107" s="1"/>
  <c r="C14" i="107"/>
  <c r="D14" i="107" s="1"/>
  <c r="E14" i="107" s="1"/>
  <c r="F14" i="107" s="1"/>
  <c r="G14" i="107" s="1"/>
  <c r="H14" i="107" s="1"/>
  <c r="I14" i="107" s="1"/>
  <c r="J14" i="107" s="1"/>
  <c r="K14" i="107" s="1"/>
  <c r="L14" i="107" s="1"/>
  <c r="M14" i="107" s="1"/>
  <c r="N14" i="107" s="1"/>
  <c r="O14" i="107" s="1"/>
  <c r="P14" i="107" s="1"/>
  <c r="B14" i="107"/>
  <c r="B12" i="107"/>
  <c r="C12" i="107" s="1"/>
  <c r="D12" i="107" s="1"/>
  <c r="E12" i="107" s="1"/>
  <c r="F12" i="107" s="1"/>
  <c r="G12" i="107" s="1"/>
  <c r="H12" i="107" s="1"/>
  <c r="I12" i="107" s="1"/>
  <c r="J12" i="107" s="1"/>
  <c r="K12" i="107" s="1"/>
  <c r="L12" i="107" s="1"/>
  <c r="M12" i="107" s="1"/>
  <c r="N12" i="107" s="1"/>
  <c r="O12" i="107" s="1"/>
  <c r="P12" i="107" s="1"/>
  <c r="B11" i="107"/>
  <c r="C11" i="107" s="1"/>
  <c r="E11" i="107" s="1"/>
  <c r="G11" i="107" s="1"/>
  <c r="I11" i="107" s="1"/>
  <c r="K11" i="107" s="1"/>
  <c r="M11" i="107" s="1"/>
  <c r="B10" i="107"/>
  <c r="C10" i="107" s="1"/>
  <c r="D10" i="107" s="1"/>
  <c r="E10" i="107" s="1"/>
  <c r="F10" i="107" s="1"/>
  <c r="G10" i="107" s="1"/>
  <c r="H10" i="107" s="1"/>
  <c r="I10" i="107" s="1"/>
  <c r="J10" i="107" s="1"/>
  <c r="K10" i="107" s="1"/>
  <c r="L10" i="107" s="1"/>
  <c r="M10" i="107" s="1"/>
  <c r="N10" i="107" s="1"/>
  <c r="O10" i="107" s="1"/>
  <c r="P10" i="107" s="1"/>
  <c r="C9" i="107"/>
  <c r="B8" i="107"/>
  <c r="C8" i="107" s="1"/>
  <c r="E8" i="107" s="1"/>
  <c r="G8" i="107" s="1"/>
  <c r="I8" i="107" s="1"/>
  <c r="K8" i="107" s="1"/>
  <c r="M8" i="107" s="1"/>
  <c r="A8" i="107"/>
  <c r="D24" i="46"/>
  <c r="D22" i="46"/>
  <c r="C17" i="46"/>
  <c r="D17" i="46" s="1"/>
  <c r="C14" i="46"/>
  <c r="D14" i="46" s="1"/>
  <c r="A13" i="46"/>
  <c r="C12" i="46"/>
  <c r="D12" i="46" s="1"/>
  <c r="A12" i="46"/>
  <c r="C11" i="46"/>
  <c r="D11" i="46" s="1"/>
  <c r="A11" i="46"/>
  <c r="D9" i="46"/>
  <c r="C7" i="46"/>
  <c r="D8" i="46" s="1"/>
  <c r="A2" i="46"/>
  <c r="E20" i="1"/>
  <c r="E18" i="1"/>
  <c r="E16" i="1"/>
  <c r="C16" i="1"/>
  <c r="B16" i="1"/>
  <c r="B13" i="107" s="1"/>
  <c r="E15" i="1"/>
  <c r="C11" i="116"/>
  <c r="D11" i="116" s="1"/>
  <c r="E10" i="1"/>
  <c r="C17" i="95" s="1"/>
  <c r="E17" i="95" s="1"/>
  <c r="D10" i="1"/>
  <c r="E10" i="116" s="1"/>
  <c r="F10" i="116" s="1"/>
  <c r="C10" i="1"/>
  <c r="C10" i="116" s="1"/>
  <c r="D10" i="116" s="1"/>
  <c r="C8" i="1"/>
  <c r="B6" i="1"/>
  <c r="A2" i="1"/>
  <c r="D315" i="114"/>
  <c r="D312" i="114"/>
  <c r="D309" i="114"/>
  <c r="D306" i="114"/>
  <c r="D303" i="114"/>
  <c r="D300" i="114"/>
  <c r="D297" i="114"/>
  <c r="D294" i="114"/>
  <c r="D291" i="114"/>
  <c r="K270" i="114"/>
  <c r="K269" i="114"/>
  <c r="K268" i="114"/>
  <c r="K193" i="114"/>
  <c r="K120" i="114"/>
  <c r="K118" i="114"/>
  <c r="K122" i="114" s="1"/>
  <c r="K117" i="114"/>
  <c r="K92" i="114"/>
  <c r="K91" i="114"/>
  <c r="K58" i="114"/>
  <c r="K61" i="114" s="1"/>
  <c r="K66" i="114" s="1"/>
  <c r="K57" i="114"/>
  <c r="K56" i="114"/>
  <c r="K55" i="114"/>
  <c r="K54" i="114"/>
  <c r="K52" i="114"/>
  <c r="K51" i="114"/>
  <c r="K48" i="114"/>
  <c r="K47" i="114"/>
  <c r="K46" i="114"/>
  <c r="K42" i="114"/>
  <c r="K41" i="114"/>
  <c r="K39" i="114"/>
  <c r="K34" i="114"/>
  <c r="K33" i="114"/>
  <c r="K32" i="114"/>
  <c r="K31" i="114"/>
  <c r="K29" i="114"/>
  <c r="K24" i="114"/>
  <c r="K23" i="114"/>
  <c r="K22" i="114"/>
  <c r="K21" i="114"/>
  <c r="K19" i="114"/>
  <c r="BG81" i="61"/>
  <c r="BD81" i="61"/>
  <c r="BA81" i="61"/>
  <c r="AX81" i="61"/>
  <c r="AU81" i="61"/>
  <c r="AR81" i="61"/>
  <c r="BI80" i="61"/>
  <c r="BH80" i="61"/>
  <c r="BG80" i="61"/>
  <c r="BF80" i="61"/>
  <c r="BE80" i="61"/>
  <c r="BD80" i="61"/>
  <c r="BC80" i="61"/>
  <c r="BB80" i="61"/>
  <c r="BA80" i="61"/>
  <c r="AZ80" i="61"/>
  <c r="AY80" i="61"/>
  <c r="AX80" i="61"/>
  <c r="AW80" i="61"/>
  <c r="AV80" i="61"/>
  <c r="AU80" i="61"/>
  <c r="AT80" i="61"/>
  <c r="AS80" i="61"/>
  <c r="AR80" i="61"/>
  <c r="AJ76" i="61"/>
  <c r="AG76" i="61"/>
  <c r="BI75" i="61"/>
  <c r="BH75" i="61"/>
  <c r="BG75" i="61"/>
  <c r="BF75" i="61"/>
  <c r="BE75" i="61"/>
  <c r="BD75" i="61"/>
  <c r="BC75" i="61"/>
  <c r="BB75" i="61"/>
  <c r="BA75" i="61"/>
  <c r="AZ75" i="61"/>
  <c r="AY75" i="61"/>
  <c r="AX75" i="61"/>
  <c r="AW75" i="61"/>
  <c r="AV75" i="61"/>
  <c r="AU75" i="61"/>
  <c r="AT75" i="61"/>
  <c r="AS75" i="61"/>
  <c r="AR75" i="61"/>
  <c r="AL75" i="61"/>
  <c r="AK75" i="61"/>
  <c r="AJ75" i="61"/>
  <c r="AI75" i="61"/>
  <c r="AH75" i="61"/>
  <c r="AG75" i="61"/>
  <c r="AF75" i="61"/>
  <c r="AE75" i="61"/>
  <c r="AD75" i="61"/>
  <c r="BI73" i="61"/>
  <c r="BH73" i="61"/>
  <c r="BG73" i="61"/>
  <c r="BF73" i="61"/>
  <c r="BE73" i="61"/>
  <c r="BD73" i="61"/>
  <c r="BC73" i="61"/>
  <c r="BB73" i="61"/>
  <c r="BA73" i="61"/>
  <c r="AZ73" i="61"/>
  <c r="AY73" i="61"/>
  <c r="AX73" i="61"/>
  <c r="AW73" i="61"/>
  <c r="AV73" i="61"/>
  <c r="AU73" i="61"/>
  <c r="AT73" i="61"/>
  <c r="AS73" i="61"/>
  <c r="AR73" i="61"/>
  <c r="AL70" i="61"/>
  <c r="AK70" i="61"/>
  <c r="AJ70" i="61"/>
  <c r="AI70" i="61"/>
  <c r="AH70" i="61"/>
  <c r="AG70" i="61"/>
  <c r="AF70" i="61"/>
  <c r="AL68" i="61"/>
  <c r="AK68" i="61"/>
  <c r="AJ68" i="61"/>
  <c r="AI68" i="61"/>
  <c r="AH68" i="61"/>
  <c r="AG68" i="61"/>
  <c r="AF68" i="61"/>
  <c r="BI61" i="61"/>
  <c r="BH61" i="61"/>
  <c r="BG61" i="61"/>
  <c r="BF61" i="61"/>
  <c r="BE61" i="61"/>
  <c r="BD61" i="61"/>
  <c r="BC61" i="61"/>
  <c r="BB61" i="61"/>
  <c r="BA61" i="61"/>
  <c r="AZ61" i="61"/>
  <c r="AY61" i="61"/>
  <c r="AX61" i="61"/>
  <c r="AW61" i="61"/>
  <c r="AV61" i="61"/>
  <c r="AU61" i="61"/>
  <c r="AT61" i="61"/>
  <c r="AS61" i="61"/>
  <c r="AR61" i="61"/>
  <c r="BI60" i="61"/>
  <c r="BH60" i="61"/>
  <c r="BG60" i="61"/>
  <c r="BF60" i="61"/>
  <c r="BE60" i="61"/>
  <c r="BD60" i="61"/>
  <c r="BC60" i="61"/>
  <c r="BB60" i="61"/>
  <c r="BA60" i="61"/>
  <c r="AZ60" i="61"/>
  <c r="AY60" i="61"/>
  <c r="AX60" i="61"/>
  <c r="AW60" i="61"/>
  <c r="AV60" i="61"/>
  <c r="AU60" i="61"/>
  <c r="AT60" i="61"/>
  <c r="AS60" i="61"/>
  <c r="AR60" i="61"/>
  <c r="BI59" i="61"/>
  <c r="BH59" i="61"/>
  <c r="BG59" i="61"/>
  <c r="BF59" i="61"/>
  <c r="BE59" i="61"/>
  <c r="BD59" i="61"/>
  <c r="BC59" i="61"/>
  <c r="BB59" i="61"/>
  <c r="BA59" i="61"/>
  <c r="AZ59" i="61"/>
  <c r="AY59" i="61"/>
  <c r="AX59" i="61"/>
  <c r="AW59" i="61"/>
  <c r="AV59" i="61"/>
  <c r="AU59" i="61"/>
  <c r="AT59" i="61"/>
  <c r="AS59" i="61"/>
  <c r="AR59" i="61"/>
  <c r="AL59" i="61"/>
  <c r="AK59" i="61"/>
  <c r="AJ59" i="61"/>
  <c r="AI59" i="61"/>
  <c r="AH59" i="61"/>
  <c r="BI58" i="61"/>
  <c r="BH58" i="61"/>
  <c r="BG58" i="61"/>
  <c r="BF58" i="61"/>
  <c r="BE58" i="61"/>
  <c r="BD58" i="61"/>
  <c r="BC58" i="61"/>
  <c r="BB58" i="61"/>
  <c r="BA58" i="61"/>
  <c r="AZ58" i="61"/>
  <c r="AY58" i="61"/>
  <c r="AX58" i="61"/>
  <c r="AW58" i="61"/>
  <c r="AV58" i="61"/>
  <c r="AU58" i="61"/>
  <c r="AT58" i="61"/>
  <c r="AS58" i="61"/>
  <c r="AR58" i="61"/>
  <c r="AL58" i="61"/>
  <c r="AK58" i="61"/>
  <c r="AJ58" i="61"/>
  <c r="AI58" i="61"/>
  <c r="AH58" i="61"/>
  <c r="BI57" i="61"/>
  <c r="BH57" i="61"/>
  <c r="BG57" i="61"/>
  <c r="BF57" i="61"/>
  <c r="BE57" i="61"/>
  <c r="BD57" i="61"/>
  <c r="BC57" i="61"/>
  <c r="BB57" i="61"/>
  <c r="BA57" i="61"/>
  <c r="AZ57" i="61"/>
  <c r="AY57" i="61"/>
  <c r="AX57" i="61"/>
  <c r="AW57" i="61"/>
  <c r="AV57" i="61"/>
  <c r="AU57" i="61"/>
  <c r="AT57" i="61"/>
  <c r="AS57" i="61"/>
  <c r="AR57" i="61"/>
  <c r="AL57" i="61"/>
  <c r="AK57" i="61"/>
  <c r="AJ57" i="61"/>
  <c r="AI57" i="61"/>
  <c r="AH57" i="61"/>
  <c r="AG57" i="61"/>
  <c r="AF57" i="61"/>
  <c r="BI56" i="61"/>
  <c r="BH56" i="61"/>
  <c r="BG56" i="61"/>
  <c r="BF56" i="61"/>
  <c r="BE56" i="61"/>
  <c r="BD56" i="61"/>
  <c r="BC56" i="61"/>
  <c r="BB56" i="61"/>
  <c r="BA56" i="61"/>
  <c r="AZ56" i="61"/>
  <c r="AY56" i="61"/>
  <c r="AX56" i="61"/>
  <c r="AW56" i="61"/>
  <c r="AV56" i="61"/>
  <c r="AU56" i="61"/>
  <c r="AT56" i="61"/>
  <c r="AS56" i="61"/>
  <c r="AR56" i="61"/>
  <c r="AL56" i="61"/>
  <c r="AK56" i="61"/>
  <c r="AJ56" i="61"/>
  <c r="AI56" i="61"/>
  <c r="AH56" i="61"/>
  <c r="AG56" i="61"/>
  <c r="AF56" i="61"/>
  <c r="BI55" i="61"/>
  <c r="BH55" i="61"/>
  <c r="BG55" i="61"/>
  <c r="BF55" i="61"/>
  <c r="BE55" i="61"/>
  <c r="BD55" i="61"/>
  <c r="BC55" i="61"/>
  <c r="BB55" i="61"/>
  <c r="BA55" i="61"/>
  <c r="AZ55" i="61"/>
  <c r="AY55" i="61"/>
  <c r="AX55" i="61"/>
  <c r="AW55" i="61"/>
  <c r="AV55" i="61"/>
  <c r="AU55" i="61"/>
  <c r="AT55" i="61"/>
  <c r="AS55" i="61"/>
  <c r="AR55" i="61"/>
  <c r="AL55" i="61"/>
  <c r="AK55" i="61"/>
  <c r="AJ55" i="61"/>
  <c r="AI55" i="61"/>
  <c r="AH55" i="61"/>
  <c r="BI54" i="61"/>
  <c r="BH54" i="61"/>
  <c r="BG54" i="61"/>
  <c r="BF54" i="61"/>
  <c r="BE54" i="61"/>
  <c r="BD54" i="61"/>
  <c r="BC54" i="61"/>
  <c r="BB54" i="61"/>
  <c r="BA54" i="61"/>
  <c r="AZ54" i="61"/>
  <c r="AY54" i="61"/>
  <c r="AX54" i="61"/>
  <c r="AW54" i="61"/>
  <c r="AV54" i="61"/>
  <c r="AU54" i="61"/>
  <c r="AT54" i="61"/>
  <c r="AS54" i="61"/>
  <c r="AR54" i="61"/>
  <c r="AL54" i="61"/>
  <c r="AK54" i="61"/>
  <c r="AJ54" i="61"/>
  <c r="AI54" i="61"/>
  <c r="AH54" i="61"/>
  <c r="AG54" i="61"/>
  <c r="AF54" i="61"/>
  <c r="BI53" i="61"/>
  <c r="BH53" i="61"/>
  <c r="BG53" i="61"/>
  <c r="BF53" i="61"/>
  <c r="BE53" i="61"/>
  <c r="BD53" i="61"/>
  <c r="BC53" i="61"/>
  <c r="BB53" i="61"/>
  <c r="BA53" i="61"/>
  <c r="AZ53" i="61"/>
  <c r="AY53" i="61"/>
  <c r="AX53" i="61"/>
  <c r="AW53" i="61"/>
  <c r="AV53" i="61"/>
  <c r="AU53" i="61"/>
  <c r="AT53" i="61"/>
  <c r="AS53" i="61"/>
  <c r="AR53" i="61"/>
  <c r="AL53" i="61"/>
  <c r="AK53" i="61"/>
  <c r="AJ53" i="61"/>
  <c r="AI53" i="61"/>
  <c r="AH53" i="61"/>
  <c r="AG53" i="61"/>
  <c r="AF53" i="61"/>
  <c r="BI52" i="61"/>
  <c r="BH52" i="61"/>
  <c r="BG52" i="61"/>
  <c r="BF52" i="61"/>
  <c r="BE52" i="61"/>
  <c r="BD52" i="61"/>
  <c r="BC52" i="61"/>
  <c r="BB52" i="61"/>
  <c r="BA52" i="61"/>
  <c r="AZ52" i="61"/>
  <c r="AY52" i="61"/>
  <c r="AX52" i="61"/>
  <c r="AW52" i="61"/>
  <c r="AV52" i="61"/>
  <c r="AU52" i="61"/>
  <c r="AT52" i="61"/>
  <c r="AS52" i="61"/>
  <c r="AR52" i="61"/>
  <c r="AL52" i="61"/>
  <c r="AK52" i="61"/>
  <c r="AJ52" i="61"/>
  <c r="AI52" i="61"/>
  <c r="AH52" i="61"/>
  <c r="AG52" i="61"/>
  <c r="AF52" i="61"/>
  <c r="BI51" i="61"/>
  <c r="BH51" i="61"/>
  <c r="BG51" i="61"/>
  <c r="BF51" i="61"/>
  <c r="BE51" i="61"/>
  <c r="BD51" i="61"/>
  <c r="BC51" i="61"/>
  <c r="BB51" i="61"/>
  <c r="BA51" i="61"/>
  <c r="AZ51" i="61"/>
  <c r="AY51" i="61"/>
  <c r="AX51" i="61"/>
  <c r="AW51" i="61"/>
  <c r="AV51" i="61"/>
  <c r="AU51" i="61"/>
  <c r="AT51" i="61"/>
  <c r="AS51" i="61"/>
  <c r="AR51" i="61"/>
  <c r="AL51" i="61"/>
  <c r="AK51" i="61"/>
  <c r="AJ51" i="61"/>
  <c r="AI51" i="61"/>
  <c r="AH51" i="61"/>
  <c r="AG51" i="61"/>
  <c r="AF51" i="61"/>
  <c r="BI50" i="61"/>
  <c r="BH50" i="61"/>
  <c r="BG50" i="61"/>
  <c r="BF50" i="61"/>
  <c r="BE50" i="61"/>
  <c r="BD50" i="61"/>
  <c r="BC50" i="61"/>
  <c r="BB50" i="61"/>
  <c r="BA50" i="61"/>
  <c r="AZ50" i="61"/>
  <c r="AY50" i="61"/>
  <c r="AX50" i="61"/>
  <c r="AW50" i="61"/>
  <c r="AV50" i="61"/>
  <c r="AU50" i="61"/>
  <c r="AT50" i="61"/>
  <c r="AS50" i="61"/>
  <c r="AR50" i="61"/>
  <c r="AL50" i="61"/>
  <c r="AK50" i="61"/>
  <c r="AJ50" i="61"/>
  <c r="AI50" i="61"/>
  <c r="AH50" i="61"/>
  <c r="AG50" i="61"/>
  <c r="AF50" i="61"/>
  <c r="BI49" i="61"/>
  <c r="BH49" i="61"/>
  <c r="BG49" i="61"/>
  <c r="BF49" i="61"/>
  <c r="BE49" i="61"/>
  <c r="BD49" i="61"/>
  <c r="BC49" i="61"/>
  <c r="BB49" i="61"/>
  <c r="BA49" i="61"/>
  <c r="AZ49" i="61"/>
  <c r="AY49" i="61"/>
  <c r="AX49" i="61"/>
  <c r="AW49" i="61"/>
  <c r="AV49" i="61"/>
  <c r="AU49" i="61"/>
  <c r="AT49" i="61"/>
  <c r="AS49" i="61"/>
  <c r="AR49" i="61"/>
  <c r="AL49" i="61"/>
  <c r="AK49" i="61"/>
  <c r="AJ49" i="61"/>
  <c r="AI49" i="61"/>
  <c r="AH49" i="61"/>
  <c r="AG49" i="61"/>
  <c r="AF49" i="61"/>
  <c r="BI48" i="61"/>
  <c r="BH48" i="61"/>
  <c r="BG48" i="61"/>
  <c r="BF48" i="61"/>
  <c r="BE48" i="61"/>
  <c r="BD48" i="61"/>
  <c r="BC48" i="61"/>
  <c r="BB48" i="61"/>
  <c r="BA48" i="61"/>
  <c r="AZ48" i="61"/>
  <c r="AY48" i="61"/>
  <c r="AX48" i="61"/>
  <c r="AW48" i="61"/>
  <c r="AV48" i="61"/>
  <c r="AU48" i="61"/>
  <c r="AT48" i="61"/>
  <c r="AS48" i="61"/>
  <c r="AR48" i="61"/>
  <c r="AL48" i="61"/>
  <c r="AK48" i="61"/>
  <c r="AJ48" i="61"/>
  <c r="AI48" i="61"/>
  <c r="AH48" i="61"/>
  <c r="AG48" i="61"/>
  <c r="AF48" i="61"/>
  <c r="BI47" i="61"/>
  <c r="BH47" i="61"/>
  <c r="BG47" i="61"/>
  <c r="BF47" i="61"/>
  <c r="BE47" i="61"/>
  <c r="BD47" i="61"/>
  <c r="BC47" i="61"/>
  <c r="BB47" i="61"/>
  <c r="BA47" i="61"/>
  <c r="AZ47" i="61"/>
  <c r="AY47" i="61"/>
  <c r="AX47" i="61"/>
  <c r="AW47" i="61"/>
  <c r="AV47" i="61"/>
  <c r="AU47" i="61"/>
  <c r="AT47" i="61"/>
  <c r="AS47" i="61"/>
  <c r="AR47" i="61"/>
  <c r="AL47" i="61"/>
  <c r="AK47" i="61"/>
  <c r="AJ47" i="61"/>
  <c r="AI47" i="61"/>
  <c r="AH47" i="61"/>
  <c r="AG47" i="61"/>
  <c r="AF47" i="61"/>
  <c r="BI46" i="61"/>
  <c r="BH46" i="61"/>
  <c r="BG46" i="61"/>
  <c r="BF46" i="61"/>
  <c r="BE46" i="61"/>
  <c r="BD46" i="61"/>
  <c r="BC46" i="61"/>
  <c r="BB46" i="61"/>
  <c r="BA46" i="61"/>
  <c r="AZ46" i="61"/>
  <c r="AY46" i="61"/>
  <c r="AX46" i="61"/>
  <c r="AW46" i="61"/>
  <c r="AV46" i="61"/>
  <c r="AU46" i="61"/>
  <c r="AT46" i="61"/>
  <c r="AS46" i="61"/>
  <c r="AR46" i="61"/>
  <c r="AL46" i="61"/>
  <c r="AK46" i="61"/>
  <c r="AJ46" i="61"/>
  <c r="AI46" i="61"/>
  <c r="AH46" i="61"/>
  <c r="AG46" i="61"/>
  <c r="AF46" i="61"/>
  <c r="BI45" i="61"/>
  <c r="BH45" i="61"/>
  <c r="BG45" i="61"/>
  <c r="BF45" i="61"/>
  <c r="BE45" i="61"/>
  <c r="BD45" i="61"/>
  <c r="BC45" i="61"/>
  <c r="BB45" i="61"/>
  <c r="BA45" i="61"/>
  <c r="AZ45" i="61"/>
  <c r="AY45" i="61"/>
  <c r="AX45" i="61"/>
  <c r="AW45" i="61"/>
  <c r="AV45" i="61"/>
  <c r="AU45" i="61"/>
  <c r="AT45" i="61"/>
  <c r="AS45" i="61"/>
  <c r="AR45" i="61"/>
  <c r="AL45" i="61"/>
  <c r="AK45" i="61"/>
  <c r="AJ45" i="61"/>
  <c r="AI45" i="61"/>
  <c r="AH45" i="61"/>
  <c r="AG45" i="61"/>
  <c r="AF45" i="61"/>
  <c r="BI44" i="61"/>
  <c r="BH44" i="61"/>
  <c r="BG44" i="61"/>
  <c r="BF44" i="61"/>
  <c r="BE44" i="61"/>
  <c r="BD44" i="61"/>
  <c r="BC44" i="61"/>
  <c r="BB44" i="61"/>
  <c r="BA44" i="61"/>
  <c r="AZ44" i="61"/>
  <c r="AY44" i="61"/>
  <c r="AX44" i="61"/>
  <c r="AW44" i="61"/>
  <c r="AV44" i="61"/>
  <c r="AU44" i="61"/>
  <c r="AT44" i="61"/>
  <c r="AS44" i="61"/>
  <c r="AR44" i="61"/>
  <c r="AL44" i="61"/>
  <c r="AK44" i="61"/>
  <c r="AJ44" i="61"/>
  <c r="AI44" i="61"/>
  <c r="AH44" i="61"/>
  <c r="AG44" i="61"/>
  <c r="AF44" i="61"/>
  <c r="BI43" i="61"/>
  <c r="BH43" i="61"/>
  <c r="BG43" i="61"/>
  <c r="BF43" i="61"/>
  <c r="BE43" i="61"/>
  <c r="BD43" i="61"/>
  <c r="BC43" i="61"/>
  <c r="BB43" i="61"/>
  <c r="BA43" i="61"/>
  <c r="AZ43" i="61"/>
  <c r="AY43" i="61"/>
  <c r="AX43" i="61"/>
  <c r="AW43" i="61"/>
  <c r="AV43" i="61"/>
  <c r="AU43" i="61"/>
  <c r="AT43" i="61"/>
  <c r="AS43" i="61"/>
  <c r="AR43" i="61"/>
  <c r="AL43" i="61"/>
  <c r="AK43" i="61"/>
  <c r="AJ43" i="61"/>
  <c r="AI43" i="61"/>
  <c r="AH43" i="61"/>
  <c r="AG43" i="61"/>
  <c r="AF43" i="61"/>
  <c r="BI42" i="61"/>
  <c r="BH42" i="61"/>
  <c r="BG42" i="61"/>
  <c r="BF42" i="61"/>
  <c r="BE42" i="61"/>
  <c r="BD42" i="61"/>
  <c r="BC42" i="61"/>
  <c r="BB42" i="61"/>
  <c r="BA42" i="61"/>
  <c r="AZ42" i="61"/>
  <c r="AY42" i="61"/>
  <c r="AX42" i="61"/>
  <c r="AW42" i="61"/>
  <c r="AV42" i="61"/>
  <c r="AU42" i="61"/>
  <c r="AT42" i="61"/>
  <c r="AS42" i="61"/>
  <c r="AR42" i="61"/>
  <c r="AL42" i="61"/>
  <c r="AK42" i="61"/>
  <c r="AJ42" i="61"/>
  <c r="AI42" i="61"/>
  <c r="AH42" i="61"/>
  <c r="AG42" i="61"/>
  <c r="AF42" i="61"/>
  <c r="BI41" i="61"/>
  <c r="BH41" i="61"/>
  <c r="BG41" i="61"/>
  <c r="BF41" i="61"/>
  <c r="BE41" i="61"/>
  <c r="BD41" i="61"/>
  <c r="BC41" i="61"/>
  <c r="BB41" i="61"/>
  <c r="BA41" i="61"/>
  <c r="AZ41" i="61"/>
  <c r="AY41" i="61"/>
  <c r="AX41" i="61"/>
  <c r="AW41" i="61"/>
  <c r="AV41" i="61"/>
  <c r="AU41" i="61"/>
  <c r="AT41" i="61"/>
  <c r="AS41" i="61"/>
  <c r="AR41" i="61"/>
  <c r="AL41" i="61"/>
  <c r="AK41" i="61"/>
  <c r="AJ41" i="61"/>
  <c r="AI41" i="61"/>
  <c r="AH41" i="61"/>
  <c r="AG41" i="61"/>
  <c r="AF41" i="61"/>
  <c r="BI40" i="61"/>
  <c r="BH40" i="61"/>
  <c r="BG40" i="61"/>
  <c r="BF40" i="61"/>
  <c r="BE40" i="61"/>
  <c r="BD40" i="61"/>
  <c r="BC40" i="61"/>
  <c r="BB40" i="61"/>
  <c r="BA40" i="61"/>
  <c r="AZ40" i="61"/>
  <c r="AY40" i="61"/>
  <c r="AX40" i="61"/>
  <c r="AW40" i="61"/>
  <c r="AV40" i="61"/>
  <c r="AU40" i="61"/>
  <c r="AT40" i="61"/>
  <c r="AS40" i="61"/>
  <c r="AR40" i="61"/>
  <c r="AL40" i="61"/>
  <c r="AK40" i="61"/>
  <c r="AJ40" i="61"/>
  <c r="AI40" i="61"/>
  <c r="AH40" i="61"/>
  <c r="AG40" i="61"/>
  <c r="AF40" i="61"/>
  <c r="BI39" i="61"/>
  <c r="BH39" i="61"/>
  <c r="BG39" i="61"/>
  <c r="BF39" i="61"/>
  <c r="BE39" i="61"/>
  <c r="BD39" i="61"/>
  <c r="BC39" i="61"/>
  <c r="BB39" i="61"/>
  <c r="BA39" i="61"/>
  <c r="AZ39" i="61"/>
  <c r="AY39" i="61"/>
  <c r="AX39" i="61"/>
  <c r="AW39" i="61"/>
  <c r="AV39" i="61"/>
  <c r="AU39" i="61"/>
  <c r="AT39" i="61"/>
  <c r="AS39" i="61"/>
  <c r="AR39" i="61"/>
  <c r="AL39" i="61"/>
  <c r="AK39" i="61"/>
  <c r="AJ39" i="61"/>
  <c r="AI39" i="61"/>
  <c r="AH39" i="61"/>
  <c r="AG39" i="61"/>
  <c r="AF39" i="61"/>
  <c r="BI38" i="61"/>
  <c r="BH38" i="61"/>
  <c r="BG38" i="61"/>
  <c r="BF38" i="61"/>
  <c r="BE38" i="61"/>
  <c r="BD38" i="61"/>
  <c r="BC38" i="61"/>
  <c r="BB38" i="61"/>
  <c r="BA38" i="61"/>
  <c r="AZ38" i="61"/>
  <c r="AY38" i="61"/>
  <c r="AX38" i="61"/>
  <c r="AW38" i="61"/>
  <c r="AV38" i="61"/>
  <c r="AU38" i="61"/>
  <c r="AT38" i="61"/>
  <c r="AS38" i="61"/>
  <c r="AR38" i="61"/>
  <c r="AL38" i="61"/>
  <c r="AK38" i="61"/>
  <c r="AJ38" i="61"/>
  <c r="AI38" i="61"/>
  <c r="AH38" i="61"/>
  <c r="AG38" i="61"/>
  <c r="AF38" i="61"/>
  <c r="BI37" i="61"/>
  <c r="BH37" i="61"/>
  <c r="BG37" i="61"/>
  <c r="BF37" i="61"/>
  <c r="BE37" i="61"/>
  <c r="BD37" i="61"/>
  <c r="BC37" i="61"/>
  <c r="BB37" i="61"/>
  <c r="BA37" i="61"/>
  <c r="AZ37" i="61"/>
  <c r="AY37" i="61"/>
  <c r="AX37" i="61"/>
  <c r="AW37" i="61"/>
  <c r="AV37" i="61"/>
  <c r="AU37" i="61"/>
  <c r="AT37" i="61"/>
  <c r="AS37" i="61"/>
  <c r="AR37" i="61"/>
  <c r="AL37" i="61"/>
  <c r="AK37" i="61"/>
  <c r="AJ37" i="61"/>
  <c r="AI37" i="61"/>
  <c r="AH37" i="61"/>
  <c r="AG37" i="61"/>
  <c r="AF37" i="61"/>
  <c r="BI36" i="61"/>
  <c r="BH36" i="61"/>
  <c r="BG36" i="61"/>
  <c r="BF36" i="61"/>
  <c r="BE36" i="61"/>
  <c r="BD36" i="61"/>
  <c r="BC36" i="61"/>
  <c r="BB36" i="61"/>
  <c r="BA36" i="61"/>
  <c r="AZ36" i="61"/>
  <c r="AY36" i="61"/>
  <c r="AX36" i="61"/>
  <c r="AW36" i="61"/>
  <c r="AV36" i="61"/>
  <c r="AU36" i="61"/>
  <c r="AT36" i="61"/>
  <c r="AS36" i="61"/>
  <c r="AR36" i="61"/>
  <c r="AL36" i="61"/>
  <c r="AK36" i="61"/>
  <c r="AJ36" i="61"/>
  <c r="AI36" i="61"/>
  <c r="AH36" i="61"/>
  <c r="AG36" i="61"/>
  <c r="AF36" i="61"/>
  <c r="BI35" i="61"/>
  <c r="BH35" i="61"/>
  <c r="BG35" i="61"/>
  <c r="BF35" i="61"/>
  <c r="BE35" i="61"/>
  <c r="BD35" i="61"/>
  <c r="BC35" i="61"/>
  <c r="BB35" i="61"/>
  <c r="BA35" i="61"/>
  <c r="AZ35" i="61"/>
  <c r="AY35" i="61"/>
  <c r="AX35" i="61"/>
  <c r="AW35" i="61"/>
  <c r="AV35" i="61"/>
  <c r="AU35" i="61"/>
  <c r="AT35" i="61"/>
  <c r="AS35" i="61"/>
  <c r="AR35" i="61"/>
  <c r="AL35" i="61"/>
  <c r="AK35" i="61"/>
  <c r="AJ35" i="61"/>
  <c r="AI35" i="61"/>
  <c r="AH35" i="61"/>
  <c r="AG35" i="61"/>
  <c r="AF35" i="61"/>
  <c r="BI34" i="61"/>
  <c r="BH34" i="61"/>
  <c r="BG34" i="61"/>
  <c r="BF34" i="61"/>
  <c r="BE34" i="61"/>
  <c r="BD34" i="61"/>
  <c r="BC34" i="61"/>
  <c r="BB34" i="61"/>
  <c r="BA34" i="61"/>
  <c r="AZ34" i="61"/>
  <c r="AY34" i="61"/>
  <c r="AX34" i="61"/>
  <c r="AW34" i="61"/>
  <c r="AV34" i="61"/>
  <c r="AU34" i="61"/>
  <c r="AT34" i="61"/>
  <c r="AS34" i="61"/>
  <c r="AR34" i="61"/>
  <c r="AL34" i="61"/>
  <c r="AK34" i="61"/>
  <c r="AJ34" i="61"/>
  <c r="AI34" i="61"/>
  <c r="AH34" i="61"/>
  <c r="AG34" i="61"/>
  <c r="AF34" i="61"/>
  <c r="BI33" i="61"/>
  <c r="BH33" i="61"/>
  <c r="BG33" i="61"/>
  <c r="BF33" i="61"/>
  <c r="BE33" i="61"/>
  <c r="BD33" i="61"/>
  <c r="BC33" i="61"/>
  <c r="BB33" i="61"/>
  <c r="BA33" i="61"/>
  <c r="AZ33" i="61"/>
  <c r="AY33" i="61"/>
  <c r="AX33" i="61"/>
  <c r="AW33" i="61"/>
  <c r="AV33" i="61"/>
  <c r="AU33" i="61"/>
  <c r="AT33" i="61"/>
  <c r="AS33" i="61"/>
  <c r="AR33" i="61"/>
  <c r="AL33" i="61"/>
  <c r="AK33" i="61"/>
  <c r="AJ33" i="61"/>
  <c r="AI33" i="61"/>
  <c r="AH33" i="61"/>
  <c r="AG33" i="61"/>
  <c r="AF33" i="61"/>
  <c r="BI32" i="61"/>
  <c r="BH32" i="61"/>
  <c r="BG32" i="61"/>
  <c r="BF32" i="61"/>
  <c r="BE32" i="61"/>
  <c r="BD32" i="61"/>
  <c r="BC32" i="61"/>
  <c r="BB32" i="61"/>
  <c r="BA32" i="61"/>
  <c r="AZ32" i="61"/>
  <c r="AY32" i="61"/>
  <c r="AX32" i="61"/>
  <c r="AW32" i="61"/>
  <c r="AV32" i="61"/>
  <c r="AU32" i="61"/>
  <c r="AT32" i="61"/>
  <c r="AS32" i="61"/>
  <c r="AR32" i="61"/>
  <c r="AL32" i="61"/>
  <c r="AK32" i="61"/>
  <c r="AJ32" i="61"/>
  <c r="AI32" i="61"/>
  <c r="AH32" i="61"/>
  <c r="AG32" i="61"/>
  <c r="AF32" i="61"/>
  <c r="BI31" i="61"/>
  <c r="BH31" i="61"/>
  <c r="BG31" i="61"/>
  <c r="BF31" i="61"/>
  <c r="BE31" i="61"/>
  <c r="BD31" i="61"/>
  <c r="BC31" i="61"/>
  <c r="BB31" i="61"/>
  <c r="BA31" i="61"/>
  <c r="AZ31" i="61"/>
  <c r="AY31" i="61"/>
  <c r="AX31" i="61"/>
  <c r="AW31" i="61"/>
  <c r="AV31" i="61"/>
  <c r="AU31" i="61"/>
  <c r="AT31" i="61"/>
  <c r="AS31" i="61"/>
  <c r="AR31" i="61"/>
  <c r="AL31" i="61"/>
  <c r="AK31" i="61"/>
  <c r="AJ31" i="61"/>
  <c r="AI31" i="61"/>
  <c r="AH31" i="61"/>
  <c r="AG31" i="61"/>
  <c r="AF31" i="61"/>
  <c r="BI30" i="61"/>
  <c r="BH30" i="61"/>
  <c r="BG30" i="61"/>
  <c r="BF30" i="61"/>
  <c r="BE30" i="61"/>
  <c r="BD30" i="61"/>
  <c r="BC30" i="61"/>
  <c r="BB30" i="61"/>
  <c r="BA30" i="61"/>
  <c r="AZ30" i="61"/>
  <c r="AY30" i="61"/>
  <c r="AX30" i="61"/>
  <c r="AW30" i="61"/>
  <c r="AV30" i="61"/>
  <c r="AU30" i="61"/>
  <c r="AT30" i="61"/>
  <c r="AS30" i="61"/>
  <c r="AR30" i="61"/>
  <c r="AL30" i="61"/>
  <c r="AK30" i="61"/>
  <c r="AJ30" i="61"/>
  <c r="AI30" i="61"/>
  <c r="AH30" i="61"/>
  <c r="AG30" i="61"/>
  <c r="AF30" i="61"/>
  <c r="BI29" i="61"/>
  <c r="BH29" i="61"/>
  <c r="BG29" i="61"/>
  <c r="BF29" i="61"/>
  <c r="BE29" i="61"/>
  <c r="BD29" i="61"/>
  <c r="BC29" i="61"/>
  <c r="BB29" i="61"/>
  <c r="BA29" i="61"/>
  <c r="AZ29" i="61"/>
  <c r="AY29" i="61"/>
  <c r="AX29" i="61"/>
  <c r="AW29" i="61"/>
  <c r="AV29" i="61"/>
  <c r="AU29" i="61"/>
  <c r="AT29" i="61"/>
  <c r="AS29" i="61"/>
  <c r="AR29" i="61"/>
  <c r="AL29" i="61"/>
  <c r="AK29" i="61"/>
  <c r="AJ29" i="61"/>
  <c r="AI29" i="61"/>
  <c r="AH29" i="61"/>
  <c r="AG29" i="61"/>
  <c r="AF29" i="61"/>
  <c r="BI28" i="61"/>
  <c r="BH28" i="61"/>
  <c r="BG28" i="61"/>
  <c r="BF28" i="61"/>
  <c r="BE28" i="61"/>
  <c r="BD28" i="61"/>
  <c r="BC28" i="61"/>
  <c r="BB28" i="61"/>
  <c r="BA28" i="61"/>
  <c r="AZ28" i="61"/>
  <c r="AY28" i="61"/>
  <c r="AX28" i="61"/>
  <c r="AW28" i="61"/>
  <c r="AV28" i="61"/>
  <c r="AU28" i="61"/>
  <c r="AT28" i="61"/>
  <c r="AS28" i="61"/>
  <c r="AR28" i="61"/>
  <c r="AL28" i="61"/>
  <c r="AK28" i="61"/>
  <c r="AJ28" i="61"/>
  <c r="AI28" i="61"/>
  <c r="AH28" i="61"/>
  <c r="AG28" i="61"/>
  <c r="AF28" i="61"/>
  <c r="BI27" i="61"/>
  <c r="BH27" i="61"/>
  <c r="BG27" i="61"/>
  <c r="BF27" i="61"/>
  <c r="BE27" i="61"/>
  <c r="BD27" i="61"/>
  <c r="BC27" i="61"/>
  <c r="BB27" i="61"/>
  <c r="BA27" i="61"/>
  <c r="AZ27" i="61"/>
  <c r="AY27" i="61"/>
  <c r="AX27" i="61"/>
  <c r="AW27" i="61"/>
  <c r="AV27" i="61"/>
  <c r="AU27" i="61"/>
  <c r="AT27" i="61"/>
  <c r="AS27" i="61"/>
  <c r="AR27" i="61"/>
  <c r="AL27" i="61"/>
  <c r="AK27" i="61"/>
  <c r="AJ27" i="61"/>
  <c r="AI27" i="61"/>
  <c r="AH27" i="61"/>
  <c r="AG27" i="61"/>
  <c r="AF27" i="61"/>
  <c r="BI26" i="61"/>
  <c r="BH26" i="61"/>
  <c r="BG26" i="61"/>
  <c r="BF26" i="61"/>
  <c r="BE26" i="61"/>
  <c r="BD26" i="61"/>
  <c r="BC26" i="61"/>
  <c r="BB26" i="61"/>
  <c r="BA26" i="61"/>
  <c r="AZ26" i="61"/>
  <c r="AY26" i="61"/>
  <c r="AX26" i="61"/>
  <c r="AW26" i="61"/>
  <c r="AV26" i="61"/>
  <c r="AU26" i="61"/>
  <c r="AT26" i="61"/>
  <c r="AS26" i="61"/>
  <c r="AR26" i="61"/>
  <c r="AL26" i="61"/>
  <c r="AK26" i="61"/>
  <c r="AJ26" i="61"/>
  <c r="AI26" i="61"/>
  <c r="AH26" i="61"/>
  <c r="AG26" i="61"/>
  <c r="AF26" i="61"/>
  <c r="BI25" i="61"/>
  <c r="BH25" i="61"/>
  <c r="BG25" i="61"/>
  <c r="BF25" i="61"/>
  <c r="BE25" i="61"/>
  <c r="BD25" i="61"/>
  <c r="BC25" i="61"/>
  <c r="BB25" i="61"/>
  <c r="BA25" i="61"/>
  <c r="AZ25" i="61"/>
  <c r="AY25" i="61"/>
  <c r="AX25" i="61"/>
  <c r="AW25" i="61"/>
  <c r="AV25" i="61"/>
  <c r="AU25" i="61"/>
  <c r="AT25" i="61"/>
  <c r="AS25" i="61"/>
  <c r="AR25" i="61"/>
  <c r="AL25" i="61"/>
  <c r="AK25" i="61"/>
  <c r="AJ25" i="61"/>
  <c r="AI25" i="61"/>
  <c r="AH25" i="61"/>
  <c r="AG25" i="61"/>
  <c r="AF25" i="61"/>
  <c r="BI24" i="61"/>
  <c r="BH24" i="61"/>
  <c r="BG24" i="61"/>
  <c r="BF24" i="61"/>
  <c r="BE24" i="61"/>
  <c r="BD24" i="61"/>
  <c r="BC24" i="61"/>
  <c r="BB24" i="61"/>
  <c r="BA24" i="61"/>
  <c r="AZ24" i="61"/>
  <c r="AY24" i="61"/>
  <c r="AX24" i="61"/>
  <c r="AW24" i="61"/>
  <c r="AV24" i="61"/>
  <c r="AU24" i="61"/>
  <c r="AT24" i="61"/>
  <c r="AS24" i="61"/>
  <c r="AR24" i="61"/>
  <c r="AL24" i="61"/>
  <c r="AK24" i="61"/>
  <c r="AJ24" i="61"/>
  <c r="AI24" i="61"/>
  <c r="AH24" i="61"/>
  <c r="AG24" i="61"/>
  <c r="AF24" i="61"/>
  <c r="BI23" i="61"/>
  <c r="BH23" i="61"/>
  <c r="BG23" i="61"/>
  <c r="BF23" i="61"/>
  <c r="BE23" i="61"/>
  <c r="BD23" i="61"/>
  <c r="BC23" i="61"/>
  <c r="BB23" i="61"/>
  <c r="BA23" i="61"/>
  <c r="AZ23" i="61"/>
  <c r="AY23" i="61"/>
  <c r="AX23" i="61"/>
  <c r="AW23" i="61"/>
  <c r="AV23" i="61"/>
  <c r="AU23" i="61"/>
  <c r="AT23" i="61"/>
  <c r="AS23" i="61"/>
  <c r="AR23" i="61"/>
  <c r="AL23" i="61"/>
  <c r="AK23" i="61"/>
  <c r="AJ23" i="61"/>
  <c r="AI23" i="61"/>
  <c r="AH23" i="61"/>
  <c r="AG23" i="61"/>
  <c r="AF23" i="61"/>
  <c r="BI22" i="61"/>
  <c r="BH22" i="61"/>
  <c r="BG22" i="61"/>
  <c r="BF22" i="61"/>
  <c r="BE22" i="61"/>
  <c r="BD22" i="61"/>
  <c r="BC22" i="61"/>
  <c r="BB22" i="61"/>
  <c r="BA22" i="61"/>
  <c r="AZ22" i="61"/>
  <c r="AY22" i="61"/>
  <c r="AX22" i="61"/>
  <c r="AW22" i="61"/>
  <c r="AV22" i="61"/>
  <c r="AU22" i="61"/>
  <c r="AT22" i="61"/>
  <c r="AS22" i="61"/>
  <c r="AR22" i="61"/>
  <c r="AL22" i="61"/>
  <c r="AK22" i="61"/>
  <c r="AJ22" i="61"/>
  <c r="AI22" i="61"/>
  <c r="AH22" i="61"/>
  <c r="AG22" i="61"/>
  <c r="AF22" i="61"/>
  <c r="BI21" i="61"/>
  <c r="BH21" i="61"/>
  <c r="BG21" i="61"/>
  <c r="BF21" i="61"/>
  <c r="BE21" i="61"/>
  <c r="BD21" i="61"/>
  <c r="BC21" i="61"/>
  <c r="BB21" i="61"/>
  <c r="BA21" i="61"/>
  <c r="AZ21" i="61"/>
  <c r="AY21" i="61"/>
  <c r="AX21" i="61"/>
  <c r="AW21" i="61"/>
  <c r="AV21" i="61"/>
  <c r="AU21" i="61"/>
  <c r="AT21" i="61"/>
  <c r="AS21" i="61"/>
  <c r="AR21" i="61"/>
  <c r="AL21" i="61"/>
  <c r="AK21" i="61"/>
  <c r="AJ21" i="61"/>
  <c r="AI21" i="61"/>
  <c r="AH21" i="61"/>
  <c r="AG21" i="61"/>
  <c r="AF21" i="61"/>
  <c r="BI20" i="61"/>
  <c r="BH20" i="61"/>
  <c r="BG20" i="61"/>
  <c r="BF20" i="61"/>
  <c r="BE20" i="61"/>
  <c r="BD20" i="61"/>
  <c r="BC20" i="61"/>
  <c r="BB20" i="61"/>
  <c r="BA20" i="61"/>
  <c r="AZ20" i="61"/>
  <c r="AY20" i="61"/>
  <c r="AX20" i="61"/>
  <c r="AW20" i="61"/>
  <c r="AV20" i="61"/>
  <c r="AU20" i="61"/>
  <c r="AT20" i="61"/>
  <c r="AS20" i="61"/>
  <c r="AR20" i="61"/>
  <c r="AL20" i="61"/>
  <c r="AK20" i="61"/>
  <c r="AJ20" i="61"/>
  <c r="AI20" i="61"/>
  <c r="AH20" i="61"/>
  <c r="AG20" i="61"/>
  <c r="AF20" i="61"/>
  <c r="BI19" i="61"/>
  <c r="BH19" i="61"/>
  <c r="BG19" i="61"/>
  <c r="BF19" i="61"/>
  <c r="BE19" i="61"/>
  <c r="BD19" i="61"/>
  <c r="BC19" i="61"/>
  <c r="BB19" i="61"/>
  <c r="BA19" i="61"/>
  <c r="AZ19" i="61"/>
  <c r="AY19" i="61"/>
  <c r="AX19" i="61"/>
  <c r="AW19" i="61"/>
  <c r="AV19" i="61"/>
  <c r="AU19" i="61"/>
  <c r="AT19" i="61"/>
  <c r="AS19" i="61"/>
  <c r="AR19" i="61"/>
  <c r="AL19" i="61"/>
  <c r="AK19" i="61"/>
  <c r="AJ19" i="61"/>
  <c r="AI19" i="61"/>
  <c r="AH19" i="61"/>
  <c r="AG19" i="61"/>
  <c r="AF19" i="61"/>
  <c r="BI18" i="61"/>
  <c r="BH18" i="61"/>
  <c r="BG18" i="61"/>
  <c r="BF18" i="61"/>
  <c r="BE18" i="61"/>
  <c r="BD18" i="61"/>
  <c r="BC18" i="61"/>
  <c r="BB18" i="61"/>
  <c r="BA18" i="61"/>
  <c r="AZ18" i="61"/>
  <c r="AY18" i="61"/>
  <c r="AX18" i="61"/>
  <c r="AW18" i="61"/>
  <c r="AV18" i="61"/>
  <c r="AU18" i="61"/>
  <c r="AT18" i="61"/>
  <c r="AS18" i="61"/>
  <c r="AR18" i="61"/>
  <c r="AL18" i="61"/>
  <c r="AK18" i="61"/>
  <c r="AJ18" i="61"/>
  <c r="AI18" i="61"/>
  <c r="AH18" i="61"/>
  <c r="AG18" i="61"/>
  <c r="AF18" i="61"/>
  <c r="BI17" i="61"/>
  <c r="BH17" i="61"/>
  <c r="BG17" i="61"/>
  <c r="BF17" i="61"/>
  <c r="BE17" i="61"/>
  <c r="BD17" i="61"/>
  <c r="BC17" i="61"/>
  <c r="BB17" i="61"/>
  <c r="BA17" i="61"/>
  <c r="AZ17" i="61"/>
  <c r="AY17" i="61"/>
  <c r="AX17" i="61"/>
  <c r="AW17" i="61"/>
  <c r="AV17" i="61"/>
  <c r="AU17" i="61"/>
  <c r="AT17" i="61"/>
  <c r="AS17" i="61"/>
  <c r="AR17" i="61"/>
  <c r="AL17" i="61"/>
  <c r="AK17" i="61"/>
  <c r="AJ17" i="61"/>
  <c r="AI17" i="61"/>
  <c r="AH17" i="61"/>
  <c r="AG17" i="61"/>
  <c r="AF17" i="61"/>
  <c r="BI16" i="61"/>
  <c r="BH16" i="61"/>
  <c r="BG16" i="61"/>
  <c r="BF16" i="61"/>
  <c r="BE16" i="61"/>
  <c r="BD16" i="61"/>
  <c r="BC16" i="61"/>
  <c r="BB16" i="61"/>
  <c r="BA16" i="61"/>
  <c r="AZ16" i="61"/>
  <c r="AY16" i="61"/>
  <c r="AX16" i="61"/>
  <c r="AW16" i="61"/>
  <c r="AV16" i="61"/>
  <c r="AU16" i="61"/>
  <c r="AT16" i="61"/>
  <c r="AS16" i="61"/>
  <c r="AR16" i="61"/>
  <c r="AL16" i="61"/>
  <c r="AK16" i="61"/>
  <c r="AJ16" i="61"/>
  <c r="AI16" i="61"/>
  <c r="AH16" i="61"/>
  <c r="AG16" i="61"/>
  <c r="AF16" i="61"/>
  <c r="BI15" i="61"/>
  <c r="BH15" i="61"/>
  <c r="BG15" i="61"/>
  <c r="BF15" i="61"/>
  <c r="BE15" i="61"/>
  <c r="BD15" i="61"/>
  <c r="BC15" i="61"/>
  <c r="BB15" i="61"/>
  <c r="BA15" i="61"/>
  <c r="AZ15" i="61"/>
  <c r="AY15" i="61"/>
  <c r="AX15" i="61"/>
  <c r="AW15" i="61"/>
  <c r="AV15" i="61"/>
  <c r="AU15" i="61"/>
  <c r="AT15" i="61"/>
  <c r="AS15" i="61"/>
  <c r="AR15" i="61"/>
  <c r="AL15" i="61"/>
  <c r="AK15" i="61"/>
  <c r="AJ15" i="61"/>
  <c r="AI15" i="61"/>
  <c r="AH15" i="61"/>
  <c r="AG15" i="61"/>
  <c r="AF15" i="61"/>
  <c r="BI14" i="61"/>
  <c r="BH14" i="61"/>
  <c r="BG14" i="61"/>
  <c r="BF14" i="61"/>
  <c r="BE14" i="61"/>
  <c r="BD14" i="61"/>
  <c r="BC14" i="61"/>
  <c r="BB14" i="61"/>
  <c r="BA14" i="61"/>
  <c r="AZ14" i="61"/>
  <c r="AY14" i="61"/>
  <c r="AX14" i="61"/>
  <c r="AW14" i="61"/>
  <c r="AV14" i="61"/>
  <c r="AU14" i="61"/>
  <c r="AT14" i="61"/>
  <c r="AS14" i="61"/>
  <c r="AR14" i="61"/>
  <c r="AL14" i="61"/>
  <c r="AK14" i="61"/>
  <c r="AJ14" i="61"/>
  <c r="AI14" i="61"/>
  <c r="AH14" i="61"/>
  <c r="AG14" i="61"/>
  <c r="AF14" i="61"/>
  <c r="BI13" i="61"/>
  <c r="BH13" i="61"/>
  <c r="BG13" i="61"/>
  <c r="BF13" i="61"/>
  <c r="BE13" i="61"/>
  <c r="BD13" i="61"/>
  <c r="BC13" i="61"/>
  <c r="BB13" i="61"/>
  <c r="BA13" i="61"/>
  <c r="AZ13" i="61"/>
  <c r="AY13" i="61"/>
  <c r="AX13" i="61"/>
  <c r="AW13" i="61"/>
  <c r="AV13" i="61"/>
  <c r="AU13" i="61"/>
  <c r="AT13" i="61"/>
  <c r="AS13" i="61"/>
  <c r="AR13" i="61"/>
  <c r="AL13" i="61"/>
  <c r="AK13" i="61"/>
  <c r="AJ13" i="61"/>
  <c r="AI13" i="61"/>
  <c r="AH13" i="61"/>
  <c r="AG13" i="61"/>
  <c r="AF13" i="61"/>
  <c r="BI12" i="61"/>
  <c r="BH12" i="61"/>
  <c r="BG12" i="61"/>
  <c r="BF12" i="61"/>
  <c r="BE12" i="61"/>
  <c r="BD12" i="61"/>
  <c r="BC12" i="61"/>
  <c r="BB12" i="61"/>
  <c r="BA12" i="61"/>
  <c r="AZ12" i="61"/>
  <c r="AY12" i="61"/>
  <c r="AX12" i="61"/>
  <c r="AW12" i="61"/>
  <c r="AV12" i="61"/>
  <c r="AU12" i="61"/>
  <c r="AT12" i="61"/>
  <c r="AS12" i="61"/>
  <c r="AR12" i="61"/>
  <c r="AL12" i="61"/>
  <c r="AK12" i="61"/>
  <c r="AJ12" i="61"/>
  <c r="AI12" i="61"/>
  <c r="AH12" i="61"/>
  <c r="AG12" i="61"/>
  <c r="AF12" i="61"/>
  <c r="BI11" i="61"/>
  <c r="BH11" i="61"/>
  <c r="BG11" i="61"/>
  <c r="BF11" i="61"/>
  <c r="BE11" i="61"/>
  <c r="BD11" i="61"/>
  <c r="BC11" i="61"/>
  <c r="BB11" i="61"/>
  <c r="BA11" i="61"/>
  <c r="AZ11" i="61"/>
  <c r="AY11" i="61"/>
  <c r="AX11" i="61"/>
  <c r="AW11" i="61"/>
  <c r="AV11" i="61"/>
  <c r="AU11" i="61"/>
  <c r="AT11" i="61"/>
  <c r="AS11" i="61"/>
  <c r="AR11" i="61"/>
  <c r="AL11" i="61"/>
  <c r="AK11" i="61"/>
  <c r="AJ11" i="61"/>
  <c r="AI11" i="61"/>
  <c r="AH11" i="61"/>
  <c r="AG11" i="61"/>
  <c r="AF11" i="61"/>
  <c r="BI10" i="61"/>
  <c r="BH10" i="61"/>
  <c r="BG10" i="61"/>
  <c r="BF10" i="61"/>
  <c r="BE10" i="61"/>
  <c r="BD10" i="61"/>
  <c r="BC10" i="61"/>
  <c r="BB10" i="61"/>
  <c r="BA10" i="61"/>
  <c r="AZ10" i="61"/>
  <c r="AY10" i="61"/>
  <c r="AX10" i="61"/>
  <c r="AW10" i="61"/>
  <c r="AV10" i="61"/>
  <c r="AU10" i="61"/>
  <c r="AT10" i="61"/>
  <c r="AS10" i="61"/>
  <c r="AR10" i="61"/>
  <c r="AL10" i="61"/>
  <c r="AK10" i="61"/>
  <c r="AJ10" i="61"/>
  <c r="AI10" i="61"/>
  <c r="AH10" i="61"/>
  <c r="AG10" i="61"/>
  <c r="AF10" i="61"/>
  <c r="BI9" i="61"/>
  <c r="BH9" i="61"/>
  <c r="BG9" i="61"/>
  <c r="BF9" i="61"/>
  <c r="BE9" i="61"/>
  <c r="BD9" i="61"/>
  <c r="BC9" i="61"/>
  <c r="BB9" i="61"/>
  <c r="BA9" i="61"/>
  <c r="AZ9" i="61"/>
  <c r="AY9" i="61"/>
  <c r="AX9" i="61"/>
  <c r="AW9" i="61"/>
  <c r="AV9" i="61"/>
  <c r="AU9" i="61"/>
  <c r="AT9" i="61"/>
  <c r="AS9" i="61"/>
  <c r="AR9" i="61"/>
  <c r="AL9" i="61"/>
  <c r="AK9" i="61"/>
  <c r="AJ9" i="61"/>
  <c r="AI9" i="61"/>
  <c r="AH9" i="61"/>
  <c r="AG9" i="61"/>
  <c r="AF9" i="61"/>
  <c r="AE9" i="61"/>
  <c r="AD9" i="61"/>
  <c r="BI8" i="61"/>
  <c r="BH8" i="61"/>
  <c r="BG8" i="61"/>
  <c r="BF8" i="61"/>
  <c r="BE8" i="61"/>
  <c r="BD8" i="61"/>
  <c r="BC8" i="61"/>
  <c r="BB8" i="61"/>
  <c r="BA8" i="61"/>
  <c r="AZ8" i="61"/>
  <c r="AY8" i="61"/>
  <c r="AX8" i="61"/>
  <c r="AW8" i="61"/>
  <c r="AV8" i="61"/>
  <c r="AU8" i="61"/>
  <c r="AT8" i="61"/>
  <c r="AS8" i="61"/>
  <c r="AR8" i="61"/>
  <c r="AL8" i="61"/>
  <c r="AK8" i="61"/>
  <c r="AJ8" i="61"/>
  <c r="AI8" i="61"/>
  <c r="AH8" i="61"/>
  <c r="AG8" i="61"/>
  <c r="AF8" i="61"/>
  <c r="BI7" i="61"/>
  <c r="BH7" i="61"/>
  <c r="BG7" i="61"/>
  <c r="BF7" i="61"/>
  <c r="BE7" i="61"/>
  <c r="BD7" i="61"/>
  <c r="BC7" i="61"/>
  <c r="BB7" i="61"/>
  <c r="BA7" i="61"/>
  <c r="AZ7" i="61"/>
  <c r="AY7" i="61"/>
  <c r="AX7" i="61"/>
  <c r="AW7" i="61"/>
  <c r="AV7" i="61"/>
  <c r="AU7" i="61"/>
  <c r="AT7" i="61"/>
  <c r="AS7" i="61"/>
  <c r="AR7" i="61"/>
  <c r="AL7" i="61"/>
  <c r="AK7" i="61"/>
  <c r="AJ7" i="61"/>
  <c r="AI7" i="61"/>
  <c r="AH7" i="61"/>
  <c r="AG7" i="61"/>
  <c r="AF7" i="61"/>
  <c r="C13" i="95"/>
  <c r="D13" i="95" s="1"/>
  <c r="C13" i="46"/>
  <c r="D13" i="46" s="1"/>
  <c r="G31" i="106"/>
  <c r="F31" i="106"/>
  <c r="E31" i="106"/>
  <c r="G30" i="106"/>
  <c r="F30" i="106"/>
  <c r="E30" i="106"/>
  <c r="G29" i="106"/>
  <c r="F29" i="106"/>
  <c r="E29" i="106"/>
  <c r="G28" i="106"/>
  <c r="F28" i="106"/>
  <c r="E28" i="106"/>
  <c r="C28" i="106"/>
  <c r="C29" i="106" s="1"/>
  <c r="I23" i="106"/>
  <c r="H23" i="106"/>
  <c r="G22" i="106"/>
  <c r="F22" i="106"/>
  <c r="E22" i="106"/>
  <c r="C22" i="106"/>
  <c r="H22" i="106" s="1"/>
  <c r="I22" i="106" s="1"/>
  <c r="I21" i="106"/>
  <c r="H21" i="106"/>
  <c r="G21" i="106"/>
  <c r="F21" i="106"/>
  <c r="E21" i="106"/>
  <c r="I19" i="106"/>
  <c r="B17" i="106"/>
  <c r="B43" i="106" s="1"/>
  <c r="F8" i="4" l="1"/>
  <c r="K85" i="114"/>
  <c r="K80" i="114"/>
  <c r="K28" i="114"/>
  <c r="D40" i="118"/>
  <c r="D93" i="118"/>
  <c r="D13" i="118"/>
  <c r="D93" i="117"/>
  <c r="D40" i="117"/>
  <c r="D13" i="117"/>
  <c r="C8" i="118"/>
  <c r="C32" i="118" s="1"/>
  <c r="C55" i="118" s="1"/>
  <c r="C8" i="117"/>
  <c r="C32" i="117" s="1"/>
  <c r="C55" i="117" s="1"/>
  <c r="G23" i="95"/>
  <c r="B21" i="108" s="1"/>
  <c r="D21" i="108" s="1"/>
  <c r="C7" i="118"/>
  <c r="C31" i="118" s="1"/>
  <c r="C54" i="118" s="1"/>
  <c r="C7" i="117"/>
  <c r="C31" i="117" s="1"/>
  <c r="C54" i="117" s="1"/>
  <c r="C9" i="118"/>
  <c r="C33" i="118" s="1"/>
  <c r="C56" i="118" s="1"/>
  <c r="C9" i="117"/>
  <c r="C33" i="117" s="1"/>
  <c r="C56" i="117" s="1"/>
  <c r="B12" i="70"/>
  <c r="C12" i="70" s="1"/>
  <c r="D12" i="70" s="1"/>
  <c r="J12" i="70" s="1"/>
  <c r="D8" i="107"/>
  <c r="F8" i="107" s="1"/>
  <c r="H8" i="107" s="1"/>
  <c r="J8" i="107" s="1"/>
  <c r="L8" i="107" s="1"/>
  <c r="N8" i="107" s="1"/>
  <c r="D16" i="1"/>
  <c r="E16" i="116" s="1"/>
  <c r="F16" i="116" s="1"/>
  <c r="C16" i="116"/>
  <c r="D16" i="116" s="1"/>
  <c r="G17" i="95"/>
  <c r="F15" i="108" s="1"/>
  <c r="L15" i="108" s="1"/>
  <c r="K84" i="114"/>
  <c r="K76" i="114"/>
  <c r="H12" i="4"/>
  <c r="H13" i="4" s="1"/>
  <c r="K77" i="114"/>
  <c r="H31" i="106"/>
  <c r="C30" i="106"/>
  <c r="D9" i="108"/>
  <c r="E9" i="108" s="1"/>
  <c r="E10" i="108" s="1"/>
  <c r="K38" i="114"/>
  <c r="D10" i="46"/>
  <c r="C8" i="116"/>
  <c r="D8" i="116" s="1"/>
  <c r="D8" i="1"/>
  <c r="E8" i="1"/>
  <c r="K20" i="114" s="1"/>
  <c r="C6" i="1"/>
  <c r="K67" i="114"/>
  <c r="K62" i="114"/>
  <c r="K45" i="114"/>
  <c r="B9" i="108"/>
  <c r="B10" i="108" s="1"/>
  <c r="K189" i="114"/>
  <c r="G10" i="95"/>
  <c r="B6" i="46"/>
  <c r="B6" i="116" s="1"/>
  <c r="C6" i="116" s="1"/>
  <c r="D6" i="116" s="1"/>
  <c r="C6" i="46"/>
  <c r="D6" i="46" s="1"/>
  <c r="C7" i="4"/>
  <c r="C4" i="117" s="1"/>
  <c r="C28" i="117" s="1"/>
  <c r="C51" i="117" s="1"/>
  <c r="C72" i="117" s="1"/>
  <c r="C87" i="117" s="1"/>
  <c r="D11" i="107"/>
  <c r="F11" i="107" s="1"/>
  <c r="H11" i="107" s="1"/>
  <c r="J11" i="107" s="1"/>
  <c r="L11" i="107" s="1"/>
  <c r="N11" i="107" s="1"/>
  <c r="C15" i="4"/>
  <c r="D11" i="1"/>
  <c r="E11" i="116" s="1"/>
  <c r="F11" i="116" s="1"/>
  <c r="D15" i="4"/>
  <c r="D13" i="107"/>
  <c r="F13" i="107" s="1"/>
  <c r="H13" i="107" s="1"/>
  <c r="J13" i="107" s="1"/>
  <c r="L13" i="107" s="1"/>
  <c r="N13" i="107" s="1"/>
  <c r="C13" i="107"/>
  <c r="E13" i="107" s="1"/>
  <c r="G13" i="107" s="1"/>
  <c r="I13" i="107" s="1"/>
  <c r="K13" i="107" s="1"/>
  <c r="M13" i="107" s="1"/>
  <c r="O8" i="107"/>
  <c r="P8" i="107"/>
  <c r="P11" i="107"/>
  <c r="O11" i="107"/>
  <c r="J13" i="70"/>
  <c r="C19" i="46"/>
  <c r="D19" i="46" s="1"/>
  <c r="I13" i="70"/>
  <c r="E17" i="70"/>
  <c r="F17" i="70" s="1"/>
  <c r="B18" i="70"/>
  <c r="G13" i="95"/>
  <c r="E13" i="95"/>
  <c r="F14" i="4" s="1"/>
  <c r="D7" i="95"/>
  <c r="D17" i="95"/>
  <c r="F17" i="95" s="1"/>
  <c r="C15" i="108" s="1"/>
  <c r="I15" i="108" s="1"/>
  <c r="O15" i="108" s="1"/>
  <c r="E8" i="95"/>
  <c r="K86" i="114" s="1"/>
  <c r="F14" i="70"/>
  <c r="H14" i="70" s="1"/>
  <c r="J14" i="70" s="1"/>
  <c r="F12" i="95"/>
  <c r="G12" i="95"/>
  <c r="F8" i="95"/>
  <c r="F13" i="95"/>
  <c r="B15" i="108"/>
  <c r="M15" i="108"/>
  <c r="I11" i="70"/>
  <c r="G21" i="108"/>
  <c r="K21" i="108" s="1"/>
  <c r="O21" i="108" s="1"/>
  <c r="E21" i="108"/>
  <c r="H21" i="108" s="1"/>
  <c r="L21" i="108" s="1"/>
  <c r="E12" i="70"/>
  <c r="F12" i="70" s="1"/>
  <c r="I12" i="70"/>
  <c r="E8" i="70"/>
  <c r="E9" i="70" s="1"/>
  <c r="F21" i="108" l="1"/>
  <c r="D62" i="117"/>
  <c r="D81" i="117"/>
  <c r="D62" i="118"/>
  <c r="D81" i="118"/>
  <c r="D10" i="108"/>
  <c r="K79" i="114"/>
  <c r="C31" i="106"/>
  <c r="D11" i="95"/>
  <c r="G11" i="95" s="1"/>
  <c r="I30" i="106"/>
  <c r="H30" i="106"/>
  <c r="E15" i="70"/>
  <c r="H15" i="70" s="1"/>
  <c r="C15" i="70"/>
  <c r="C14" i="95"/>
  <c r="E8" i="116"/>
  <c r="F8" i="116" s="1"/>
  <c r="E10" i="4"/>
  <c r="E15" i="4" s="1"/>
  <c r="K53" i="114"/>
  <c r="K36" i="114"/>
  <c r="F10" i="70"/>
  <c r="K40" i="114"/>
  <c r="K30" i="114"/>
  <c r="B10" i="70"/>
  <c r="D10" i="70"/>
  <c r="K49" i="114"/>
  <c r="J9" i="108"/>
  <c r="J10" i="108" s="1"/>
  <c r="F6" i="116"/>
  <c r="E6" i="116"/>
  <c r="D7" i="4"/>
  <c r="P9" i="108"/>
  <c r="P10" i="108" s="1"/>
  <c r="C9" i="108"/>
  <c r="L9" i="108"/>
  <c r="L10" i="108" s="1"/>
  <c r="F9" i="108"/>
  <c r="F10" i="108" s="1"/>
  <c r="K9" i="108"/>
  <c r="K10" i="108" s="1"/>
  <c r="H9" i="108"/>
  <c r="H10" i="108" s="1"/>
  <c r="G9" i="108"/>
  <c r="G10" i="108" s="1"/>
  <c r="K63" i="114"/>
  <c r="K68" i="114"/>
  <c r="E6" i="1"/>
  <c r="F6" i="1" s="1"/>
  <c r="K191" i="114"/>
  <c r="C18" i="70"/>
  <c r="E18" i="70"/>
  <c r="G18" i="70" s="1"/>
  <c r="D18" i="70"/>
  <c r="G17" i="70"/>
  <c r="H17" i="70"/>
  <c r="K25" i="114"/>
  <c r="O13" i="107"/>
  <c r="P13" i="107"/>
  <c r="E10" i="95"/>
  <c r="K44" i="114"/>
  <c r="F10" i="95"/>
  <c r="K196" i="114"/>
  <c r="K37" i="114"/>
  <c r="D15" i="108"/>
  <c r="H15" i="108"/>
  <c r="N15" i="108" s="1"/>
  <c r="H8" i="70"/>
  <c r="H9" i="70" s="1"/>
  <c r="G12" i="70"/>
  <c r="H12" i="70"/>
  <c r="I21" i="108"/>
  <c r="M21" i="108" s="1"/>
  <c r="J21" i="108"/>
  <c r="I6" i="1" l="1"/>
  <c r="G6" i="1"/>
  <c r="H6" i="1" s="1"/>
  <c r="D53" i="120"/>
  <c r="D108" i="120"/>
  <c r="F108" i="120" s="1"/>
  <c r="L108" i="120" s="1"/>
  <c r="D53" i="118"/>
  <c r="D108" i="118"/>
  <c r="F108" i="118" s="1"/>
  <c r="L108" i="118" s="1"/>
  <c r="D53" i="117"/>
  <c r="D108" i="117"/>
  <c r="F108" i="117" s="1"/>
  <c r="L108" i="117" s="1"/>
  <c r="K69" i="114"/>
  <c r="K26" i="114"/>
  <c r="K82" i="114"/>
  <c r="K222" i="114"/>
  <c r="C11" i="95"/>
  <c r="I31" i="106"/>
  <c r="E123" i="114"/>
  <c r="E115" i="114"/>
  <c r="E114" i="114"/>
  <c r="G14" i="95"/>
  <c r="D14" i="95"/>
  <c r="E14" i="95" s="1"/>
  <c r="K71" i="114" s="1"/>
  <c r="C10" i="108"/>
  <c r="M9" i="108"/>
  <c r="I9" i="108"/>
  <c r="I10" i="108" s="1"/>
  <c r="K59" i="114"/>
  <c r="K64" i="114"/>
  <c r="E7" i="4"/>
  <c r="F7" i="4" s="1"/>
  <c r="E6" i="95"/>
  <c r="G6" i="95"/>
  <c r="F6" i="95"/>
  <c r="C6" i="95"/>
  <c r="D6" i="95" s="1"/>
  <c r="F18" i="70"/>
  <c r="H18" i="70" s="1"/>
  <c r="I18" i="70"/>
  <c r="K219" i="114"/>
  <c r="K218" i="114"/>
  <c r="K190" i="114"/>
  <c r="K43" i="114"/>
  <c r="J15" i="108"/>
  <c r="E15" i="108"/>
  <c r="K15" i="108" s="1"/>
  <c r="K35" i="114"/>
  <c r="K194" i="114"/>
  <c r="P21" i="108"/>
  <c r="N21" i="108"/>
  <c r="D110" i="120" l="1"/>
  <c r="F110" i="120" s="1"/>
  <c r="L110" i="120" s="1"/>
  <c r="O110" i="120" s="1"/>
  <c r="E53" i="120"/>
  <c r="E60" i="120" s="1"/>
  <c r="E61" i="120" s="1"/>
  <c r="D60" i="120"/>
  <c r="D61" i="120" s="1"/>
  <c r="D110" i="117"/>
  <c r="F110" i="117" s="1"/>
  <c r="L110" i="117" s="1"/>
  <c r="E53" i="117"/>
  <c r="E60" i="117" s="1"/>
  <c r="E61" i="117" s="1"/>
  <c r="D60" i="117"/>
  <c r="D61" i="117" s="1"/>
  <c r="D110" i="118"/>
  <c r="F110" i="118" s="1"/>
  <c r="L110" i="118" s="1"/>
  <c r="O110" i="118" s="1"/>
  <c r="E53" i="118"/>
  <c r="E60" i="118" s="1"/>
  <c r="E61" i="118" s="1"/>
  <c r="D60" i="118"/>
  <c r="D61" i="118" s="1"/>
  <c r="F11" i="95"/>
  <c r="E11" i="95"/>
  <c r="K27" i="114"/>
  <c r="E10" i="70"/>
  <c r="G10" i="70" s="1"/>
  <c r="B12" i="108"/>
  <c r="H10" i="70"/>
  <c r="F14" i="95"/>
  <c r="M10" i="108"/>
  <c r="N9" i="108"/>
  <c r="K221" i="114" l="1"/>
  <c r="K223" i="114"/>
  <c r="E13" i="70"/>
  <c r="C13" i="70"/>
  <c r="H13" i="70"/>
  <c r="B11" i="108"/>
  <c r="D11" i="108"/>
  <c r="C11" i="108"/>
  <c r="C10" i="70"/>
  <c r="F10" i="4"/>
  <c r="F15" i="4" s="1"/>
  <c r="F12" i="108"/>
  <c r="G12" i="108"/>
  <c r="C12" i="108"/>
  <c r="P12" i="108"/>
  <c r="H12" i="108"/>
  <c r="J12" i="108"/>
  <c r="L12" i="108"/>
  <c r="K12" i="108"/>
  <c r="N10" i="108"/>
  <c r="O9" i="108"/>
  <c r="O10" i="108" s="1"/>
  <c r="K220" i="114"/>
  <c r="P11" i="108" l="1"/>
  <c r="L11" i="108"/>
  <c r="J11" i="108"/>
  <c r="K11" i="108"/>
  <c r="F11" i="108"/>
  <c r="H11" i="108"/>
  <c r="G11" i="108"/>
  <c r="M11" i="108"/>
  <c r="I11" i="108"/>
  <c r="N11" i="108"/>
  <c r="E11" i="108"/>
  <c r="O11" i="108" s="1"/>
  <c r="M12" i="108"/>
  <c r="N12" i="108" s="1"/>
  <c r="O12" i="108" s="1"/>
  <c r="I12" i="108"/>
</calcChain>
</file>

<file path=xl/comments1.xml><?xml version="1.0" encoding="utf-8"?>
<comments xmlns="http://schemas.openxmlformats.org/spreadsheetml/2006/main">
  <authors>
    <author>Daniel Hernando Devis Chaparro</author>
    <author>Administrador</author>
  </authors>
  <commentList>
    <comment ref="C32" authorId="0" shapeId="0">
      <text>
        <r>
          <rPr>
            <b/>
            <sz val="9"/>
            <color indexed="81"/>
            <rFont val="Tahoma"/>
            <family val="2"/>
          </rPr>
          <t>De acuerdo con el Decreto 0568 del 21032013</t>
        </r>
      </text>
    </comment>
    <comment ref="B36" authorId="1" shapeId="0">
      <text>
        <r>
          <rPr>
            <b/>
            <sz val="8"/>
            <color indexed="81"/>
            <rFont val="Tahoma"/>
            <family val="2"/>
          </rPr>
          <t>Administrador:</t>
        </r>
        <r>
          <rPr>
            <sz val="8"/>
            <color indexed="81"/>
            <rFont val="Tahoma"/>
            <family val="2"/>
          </rPr>
          <t xml:space="preserve">
Resolución 18 2336 del 28 de Diciembre de 2011. El valor aplica para la Gasolina y el Diesel</t>
        </r>
      </text>
    </comment>
    <comment ref="B37" authorId="1" shapeId="0">
      <text>
        <r>
          <rPr>
            <b/>
            <sz val="8"/>
            <color indexed="81"/>
            <rFont val="Tahoma"/>
            <family val="2"/>
          </rPr>
          <t>Administrador:</t>
        </r>
        <r>
          <rPr>
            <sz val="8"/>
            <color indexed="81"/>
            <rFont val="Tahoma"/>
            <family val="2"/>
          </rPr>
          <t xml:space="preserve">
Resolución 18 2336 del 28 de Diciembre de 2011. El valor aplica para la Gasolina y el Diesel</t>
        </r>
      </text>
    </comment>
  </commentList>
</comments>
</file>

<file path=xl/comments2.xml><?xml version="1.0" encoding="utf-8"?>
<comments xmlns="http://schemas.openxmlformats.org/spreadsheetml/2006/main">
  <authors>
    <author>Administrador</author>
    <author>Diana Alfonso</author>
  </authors>
  <commentList>
    <comment ref="AE9" authorId="0" shapeId="0">
      <text>
        <r>
          <rPr>
            <b/>
            <sz val="8"/>
            <color indexed="81"/>
            <rFont val="Tahoma"/>
            <family val="2"/>
          </rPr>
          <t>Administrador:</t>
        </r>
        <r>
          <rPr>
            <sz val="8"/>
            <color indexed="81"/>
            <rFont val="Tahoma"/>
            <family val="2"/>
          </rPr>
          <t xml:space="preserve">
Se ajusta debido a resolución Ministerio de Minas y Energia la Resolución 180116 del 28 de enero, adjunta, por medio de la cual se modifican los precios mensuales del ACPM y de la mezcla del mismo con el biocombustible.
</t>
        </r>
      </text>
    </comment>
    <comment ref="AG58" authorId="0" shapeId="0">
      <text>
        <r>
          <rPr>
            <b/>
            <sz val="8"/>
            <color indexed="81"/>
            <rFont val="Tahoma"/>
            <family val="2"/>
          </rPr>
          <t>Administrador:</t>
        </r>
        <r>
          <rPr>
            <sz val="8"/>
            <color indexed="81"/>
            <rFont val="Tahoma"/>
            <family val="2"/>
          </rPr>
          <t xml:space="preserve">
Tarifa calculada por B/Km</t>
        </r>
      </text>
    </comment>
    <comment ref="AM73" authorId="1" shapeId="0">
      <text>
        <r>
          <rPr>
            <b/>
            <sz val="9"/>
            <color indexed="81"/>
            <rFont val="Tahoma"/>
            <family val="2"/>
          </rPr>
          <t>Diana Alfonso:</t>
        </r>
        <r>
          <rPr>
            <sz val="9"/>
            <color indexed="81"/>
            <rFont val="Tahoma"/>
            <family val="2"/>
          </rPr>
          <t xml:space="preserve">
Resolución 180324 de Marzo 28-03: FI será el valor que se reconoce por el transporte marítimo entre Cartagena y Buenaventura, siempre y cuando se utilice este medio de transporte. El valor a reconocer será de (327,72 $/Gl)</t>
        </r>
      </text>
    </comment>
    <comment ref="AQ73" authorId="1" shapeId="0">
      <text>
        <r>
          <rPr>
            <b/>
            <sz val="9"/>
            <color indexed="81"/>
            <rFont val="Tahoma"/>
            <family val="2"/>
          </rPr>
          <t>Diana Alfonso:</t>
        </r>
        <r>
          <rPr>
            <sz val="9"/>
            <color indexed="81"/>
            <rFont val="Tahoma"/>
            <family val="2"/>
          </rPr>
          <t xml:space="preserve">
Resolución 180324 de Marzo 28-03: FI será el valor que se reconoce por el transporte marítimo entre Cartagena y Buenaventura, siempre y cuando se utilice este medio de transporte. El valor a reconocer será de (327,72 $/Gl)</t>
        </r>
      </text>
    </comment>
    <comment ref="AM75" authorId="1" shapeId="0">
      <text>
        <r>
          <rPr>
            <b/>
            <sz val="9"/>
            <color indexed="81"/>
            <rFont val="Tahoma"/>
            <family val="2"/>
          </rPr>
          <t>Diana Alfonso:</t>
        </r>
        <r>
          <rPr>
            <sz val="9"/>
            <color indexed="81"/>
            <rFont val="Tahoma"/>
            <family val="2"/>
          </rPr>
          <t xml:space="preserve">
Para entregas en Buenaventura de producto importado por Ecopetrol, la tarifa máxima será la establecida para este ítem: 323 $/GL</t>
        </r>
      </text>
    </comment>
    <comment ref="AQ75" authorId="1" shapeId="0">
      <text>
        <r>
          <rPr>
            <b/>
            <sz val="9"/>
            <color indexed="81"/>
            <rFont val="Tahoma"/>
            <family val="2"/>
          </rPr>
          <t>Diana Alfonso:</t>
        </r>
        <r>
          <rPr>
            <sz val="9"/>
            <color indexed="81"/>
            <rFont val="Tahoma"/>
            <family val="2"/>
          </rPr>
          <t xml:space="preserve">
Para entregas en Buenaventura de producto importado por Ecopetrol, la tarifa máxima será la establecida para este ítem: 323 $/GL</t>
        </r>
      </text>
    </comment>
    <comment ref="AM80" authorId="1" shapeId="0">
      <text>
        <r>
          <rPr>
            <b/>
            <sz val="9"/>
            <color indexed="81"/>
            <rFont val="Tahoma"/>
            <family val="2"/>
          </rPr>
          <t>Diana Alfonso:</t>
        </r>
        <r>
          <rPr>
            <sz val="9"/>
            <color indexed="81"/>
            <rFont val="Tahoma"/>
            <family val="2"/>
          </rPr>
          <t xml:space="preserve">
Para el caso del diesel marino que se transporta a través del sistema de poliductos, será el valor adcional que se reconoce por manejo y operación en el que se incurre para transportar diesel marino desde Yumbo hacia Buenaventura. Este valor se determinó con base en el siguiente valor: Nov/03= 38,72 $/GL</t>
        </r>
      </text>
    </comment>
    <comment ref="AQ80" authorId="1" shapeId="0">
      <text>
        <r>
          <rPr>
            <b/>
            <sz val="9"/>
            <color indexed="81"/>
            <rFont val="Tahoma"/>
            <family val="2"/>
          </rPr>
          <t>Diana Alfonso:</t>
        </r>
        <r>
          <rPr>
            <sz val="9"/>
            <color indexed="81"/>
            <rFont val="Tahoma"/>
            <family val="2"/>
          </rPr>
          <t xml:space="preserve">
Para el caso del diesel marino que se transporta a través del sistema de poliductos, será el valor adcional que se reconoce por manejo y operación en el que se incurre para transportar diesel marino desde Yumbo hacia Buenaventura. Este valor se determinó con base en el siguiente valor: Nov/03= 38,72 $/GL</t>
        </r>
      </text>
    </comment>
  </commentList>
</comments>
</file>

<file path=xl/comments3.xml><?xml version="1.0" encoding="utf-8"?>
<comments xmlns="http://schemas.openxmlformats.org/spreadsheetml/2006/main">
  <authors>
    <author>Administrador</author>
    <author>User</author>
  </authors>
  <commentList>
    <comment ref="C78" authorId="0" shapeId="0">
      <text>
        <r>
          <rPr>
            <b/>
            <sz val="11"/>
            <color indexed="81"/>
            <rFont val="Tahoma"/>
            <family val="2"/>
          </rPr>
          <t>Administrador:</t>
        </r>
        <r>
          <rPr>
            <sz val="11"/>
            <color indexed="81"/>
            <rFont val="Tahoma"/>
            <family val="2"/>
          </rPr>
          <t xml:space="preserve">
Cambia en Enero </t>
        </r>
      </text>
    </comment>
    <comment ref="E109" authorId="1" shapeId="0">
      <text>
        <r>
          <rPr>
            <b/>
            <sz val="9"/>
            <color indexed="81"/>
            <rFont val="Tahoma"/>
            <family val="2"/>
          </rPr>
          <t>User:</t>
        </r>
        <r>
          <rPr>
            <sz val="9"/>
            <color indexed="81"/>
            <rFont val="Tahoma"/>
            <family val="2"/>
          </rPr>
          <t xml:space="preserve">
TENER PRESENTE TEMA REGULATORIO DMA PACIFICO</t>
        </r>
      </text>
    </comment>
  </commentList>
</comments>
</file>

<file path=xl/comments4.xml><?xml version="1.0" encoding="utf-8"?>
<comments xmlns="http://schemas.openxmlformats.org/spreadsheetml/2006/main">
  <authors>
    <author>Administrador</author>
    <author>User</author>
  </authors>
  <commentList>
    <comment ref="C78" authorId="0" shapeId="0">
      <text>
        <r>
          <rPr>
            <b/>
            <sz val="11"/>
            <color indexed="81"/>
            <rFont val="Tahoma"/>
            <family val="2"/>
          </rPr>
          <t>Administrador:</t>
        </r>
        <r>
          <rPr>
            <sz val="11"/>
            <color indexed="81"/>
            <rFont val="Tahoma"/>
            <family val="2"/>
          </rPr>
          <t xml:space="preserve">
Cambia en Enero </t>
        </r>
      </text>
    </comment>
    <comment ref="E109" authorId="1" shapeId="0">
      <text>
        <r>
          <rPr>
            <b/>
            <sz val="9"/>
            <color indexed="81"/>
            <rFont val="Tahoma"/>
            <family val="2"/>
          </rPr>
          <t>User:</t>
        </r>
        <r>
          <rPr>
            <sz val="9"/>
            <color indexed="81"/>
            <rFont val="Tahoma"/>
            <family val="2"/>
          </rPr>
          <t xml:space="preserve">
TENER PRESENTE TEMA REGULATORIO DMA PACIFICO</t>
        </r>
      </text>
    </comment>
  </commentList>
</comments>
</file>

<file path=xl/sharedStrings.xml><?xml version="1.0" encoding="utf-8"?>
<sst xmlns="http://schemas.openxmlformats.org/spreadsheetml/2006/main" count="1801" uniqueCount="718">
  <si>
    <t>($/Galón)</t>
  </si>
  <si>
    <t>ITEM</t>
  </si>
  <si>
    <t> </t>
  </si>
  <si>
    <t>Ingreso al productor</t>
  </si>
  <si>
    <t>Margen mayorista</t>
  </si>
  <si>
    <t>Precio de venta en planta de abasto mayorista</t>
  </si>
  <si>
    <t>Margen minorista</t>
  </si>
  <si>
    <t>Pérdida evaporación</t>
  </si>
  <si>
    <t>Sobretasa</t>
  </si>
  <si>
    <t>Precio de venta al público</t>
  </si>
  <si>
    <t>Gasolina Extra</t>
  </si>
  <si>
    <t>(*)</t>
  </si>
  <si>
    <t>(**)</t>
  </si>
  <si>
    <t>ESTRUCTURA DE PRECIOS DE COMBUSTIBLES LIQUIDOS</t>
  </si>
  <si>
    <t>$/Galón</t>
  </si>
  <si>
    <t>CONCEPTO</t>
  </si>
  <si>
    <t>GASOLINA REGULAR</t>
  </si>
  <si>
    <t>GASOLINA EXTRA</t>
  </si>
  <si>
    <t>ACPM</t>
  </si>
  <si>
    <t>Ingreso al Productor</t>
  </si>
  <si>
    <t>Impuesto Global</t>
  </si>
  <si>
    <t>Tarifa de Transporte</t>
  </si>
  <si>
    <t>(***)</t>
  </si>
  <si>
    <t>Precio máximo de venta al Distribuidor Mayorista</t>
  </si>
  <si>
    <t xml:space="preserve"> ($/Galón)</t>
  </si>
  <si>
    <t>Gasolina Corriente</t>
  </si>
  <si>
    <t>Tarifa de Marcación</t>
  </si>
  <si>
    <t>Alcohol Carburante</t>
  </si>
  <si>
    <t>Gasolina Corriente Oxigenada</t>
  </si>
  <si>
    <t>Gasolina Extra Oxigenada</t>
  </si>
  <si>
    <t>(1) El Ingreso al Productor se calcula de acuerdo con lo dispuesto en el Decreto 2935 de Diciembre de  2.002</t>
  </si>
  <si>
    <t xml:space="preserve">ESTRUCTURA DE PRECIOS DE COMBUSTIBLES LÍQUIDOS </t>
  </si>
  <si>
    <t>Sobretasa (Cobrada por el Distribuidor Mayorista)</t>
  </si>
  <si>
    <t>INCLUYE LA ARMADA NACIONAL VENTA LOCAL</t>
  </si>
  <si>
    <t>IVA</t>
  </si>
  <si>
    <t>Manejo y Despacho</t>
  </si>
  <si>
    <t>Precio Venta Distribuidor Final</t>
  </si>
  <si>
    <t>EN SAN ANDRES Y PROVIDENCIA INCLUYE LA ARMADA NACIONAL VENTA LOCAL</t>
  </si>
  <si>
    <t>Precio en Cartagena</t>
  </si>
  <si>
    <t>Precio en Planta de Abasto SAI</t>
  </si>
  <si>
    <t xml:space="preserve">INCLUYE LA ARMADA NACIONAL VENTA LOCAL </t>
  </si>
  <si>
    <t xml:space="preserve">PRODUCTO DESDE YUMBO (TRANSPORTE POR POLIDUCTO)      </t>
  </si>
  <si>
    <t>Margen</t>
  </si>
  <si>
    <t>Precio Venta Final</t>
  </si>
  <si>
    <t>INCLUYE LA ARMADA NACIONAL VENTA LOCAL MARITIMO ENTRE CTGENA Y BVTURA</t>
  </si>
  <si>
    <t xml:space="preserve">COMBUSTIBLE PARA ACTIVIDADES MARITIMAS Y PESQUERAS </t>
  </si>
  <si>
    <t>COMBUSTIBLE PARA ACTIVIDADES MARITIMAS Y PESQUERAS EN BUENAVENTURA</t>
  </si>
  <si>
    <t>Margen al distribuidor mayorista</t>
  </si>
  <si>
    <t>Margen del distribuidor minorista</t>
  </si>
  <si>
    <t>Ingreso al productor de la Gasolina Motor Corriente Oxigenada</t>
  </si>
  <si>
    <t>Precio máximo de venta al distribuidor mayorista</t>
  </si>
  <si>
    <t>Ecopetrol</t>
  </si>
  <si>
    <t>Reficar</t>
  </si>
  <si>
    <t>COMBUSTIBLE PARA NAVIERAS FLUVIALES</t>
  </si>
  <si>
    <t>PRECIO</t>
  </si>
  <si>
    <t xml:space="preserve">Sobretasa </t>
  </si>
  <si>
    <t>Tarifa de marcación</t>
  </si>
  <si>
    <t>Margen plan de continuidad****</t>
  </si>
  <si>
    <t>****Margen dirigido a remunerar a Ecopetrol S.A. las inversiones en el plan de continuidad para el abastecimiento del país. Resolución 18 2370 de Dic 29 de 2009</t>
  </si>
  <si>
    <t>(*****)</t>
  </si>
  <si>
    <t>Perdida por evaporación</t>
  </si>
  <si>
    <t>Precio máximo de venta por galón incluida la sobretasa</t>
  </si>
  <si>
    <t>Precio máximo en planta de abastecimiento mayorista</t>
  </si>
  <si>
    <t xml:space="preserve">Proporción Ingreso al productor del ACPM </t>
  </si>
  <si>
    <t>ACPM Base para Mezcla al 8% (2)</t>
  </si>
  <si>
    <t>Tarifa de Marcación*</t>
  </si>
  <si>
    <t>Pozos Colorados</t>
  </si>
  <si>
    <t>Biodiesel B100</t>
  </si>
  <si>
    <t>Año 2009</t>
  </si>
  <si>
    <t>Año 2010</t>
  </si>
  <si>
    <t>TABLA DE TARIFAS DE TRANSPORTE POLIDUCTOS</t>
  </si>
  <si>
    <t>IPC proyectado 2007 BanRep</t>
  </si>
  <si>
    <t>IPC proyectado 2008 BanRep</t>
  </si>
  <si>
    <t>IPC proyectado BREPUBLICA</t>
  </si>
  <si>
    <t>Resolución No. 180088 Enero 30 de 2003</t>
  </si>
  <si>
    <t>Resolución No. 18 1701 Diciembre 22 de 2003</t>
  </si>
  <si>
    <t>Año 2004</t>
  </si>
  <si>
    <t>Año 2005</t>
  </si>
  <si>
    <t>Año 2006</t>
  </si>
  <si>
    <t>Año 2006  A PARTIR DE MARZO SE MODIFICÓ TARIFA EN B/BERMEJA Y LIZAMA</t>
  </si>
  <si>
    <t>Año 2007 A partir de Febrero 1</t>
  </si>
  <si>
    <t>Año 2008 A partir de Febrero 1</t>
  </si>
  <si>
    <t>Tarifa Tramo Febrero/03 Gl</t>
  </si>
  <si>
    <t>Sitio de Entrega/Gl</t>
  </si>
  <si>
    <t>Valor barril</t>
  </si>
  <si>
    <t>Tarifa Tramo  Diciembre 22/03 Gl</t>
  </si>
  <si>
    <t>Tarifa Tramo  Febrero/04 Gl</t>
  </si>
  <si>
    <t>Tarifa Tramo  Febrero/05 Gl</t>
  </si>
  <si>
    <t>Tarifa Tramo  Febrero/07 Gl</t>
  </si>
  <si>
    <t>Tarifa Tramo  Febrero/10 Gl</t>
  </si>
  <si>
    <t>CARTAGENA  / MUELLE</t>
  </si>
  <si>
    <t>CARTAGENA / Mamonal</t>
  </si>
  <si>
    <t>CARTAGENA  / MUELLE 1 sept 2007</t>
  </si>
  <si>
    <t>CARTAGENA / Mamonal 1 sept 2007</t>
  </si>
  <si>
    <t xml:space="preserve">     GALAPA+BARANOA</t>
  </si>
  <si>
    <t>POZOS - GALAN</t>
  </si>
  <si>
    <t>COVEÑAS -GALAN</t>
  </si>
  <si>
    <t>BARRANCABERMEJA/Galán</t>
  </si>
  <si>
    <t xml:space="preserve">     B/MANGA</t>
  </si>
  <si>
    <t xml:space="preserve">     LIZAMA</t>
  </si>
  <si>
    <t xml:space="preserve">     SEBASTOPOL</t>
  </si>
  <si>
    <t xml:space="preserve">     TOCANCIPA</t>
  </si>
  <si>
    <t xml:space="preserve">     PTO. NIÑO</t>
  </si>
  <si>
    <t xml:space="preserve">     SALGAR</t>
  </si>
  <si>
    <t xml:space="preserve">     MANSILLA-CONSORCIO</t>
  </si>
  <si>
    <t xml:space="preserve">     PUENTE ARANDA</t>
  </si>
  <si>
    <t xml:space="preserve">     EL DORADO</t>
  </si>
  <si>
    <t xml:space="preserve">     MARIQUITA</t>
  </si>
  <si>
    <t xml:space="preserve">     GUALANDAY</t>
  </si>
  <si>
    <t xml:space="preserve">     NEIVA</t>
  </si>
  <si>
    <t xml:space="preserve">     LA PINTADA</t>
  </si>
  <si>
    <t xml:space="preserve">     MEDELLIN</t>
  </si>
  <si>
    <t xml:space="preserve">     GIRARDOTA</t>
  </si>
  <si>
    <t xml:space="preserve">     CARTAGO</t>
  </si>
  <si>
    <t xml:space="preserve">     BUGA</t>
  </si>
  <si>
    <t xml:space="preserve">     MULALO</t>
  </si>
  <si>
    <t xml:space="preserve">     YUMBO</t>
  </si>
  <si>
    <t>CTQS Buenavnetura **</t>
  </si>
  <si>
    <t xml:space="preserve">     BUENAVENTURA  **</t>
  </si>
  <si>
    <t>BUENAVENTURA/YUMBO</t>
  </si>
  <si>
    <t xml:space="preserve">     BUENAVENTURA cabotaje</t>
  </si>
  <si>
    <t xml:space="preserve">     MANIZALES</t>
  </si>
  <si>
    <t xml:space="preserve">     PEREIRA</t>
  </si>
  <si>
    <t>Tarifa según Resolución No. 180088 de Enero 30 de 2003</t>
  </si>
  <si>
    <t xml:space="preserve">Tarifa de tramos intermedios calculada de acuerdo al kilometraje </t>
  </si>
  <si>
    <t>Cambio tarifa tramo según Resolución No. 180209 de Febrero 27 2003</t>
  </si>
  <si>
    <t>Tarifa según Resolución No. 18 1701 de Diciembre 22 de 2003</t>
  </si>
  <si>
    <t xml:space="preserve">     BUENAVENTURA</t>
  </si>
  <si>
    <t>IPC Real 2007 BanRep</t>
  </si>
  <si>
    <t>IPC Real 2008 BanRep</t>
  </si>
  <si>
    <t xml:space="preserve">Diesel Marino </t>
  </si>
  <si>
    <t>Tarifa Vigente hasta Mar. 28/03</t>
  </si>
  <si>
    <t>Tarifa Vigente Mar. 28 a Dic. 31/03</t>
  </si>
  <si>
    <t>Tarifa Vigente 1 Ene. a Dic. 31/04</t>
  </si>
  <si>
    <t>Tarifa Vigente 1 Ene. a Dic. 31/05</t>
  </si>
  <si>
    <t>Tarifa Vigente 1 Ene. a Dic. 31/06</t>
  </si>
  <si>
    <t>Tarifa Vigente 1 Ene. a Dic. 31/07</t>
  </si>
  <si>
    <t>Tarifa Vigente 1 Ene. a Dic. 31/08</t>
  </si>
  <si>
    <t>Tarifa Vigente 1 Ene. a Dic. 31/09</t>
  </si>
  <si>
    <t>Tarifa Vigente 1 Ene. a Dic. 31/10</t>
  </si>
  <si>
    <t>Cartagena-Buenaventura (Cabotaje)</t>
  </si>
  <si>
    <t>Resolución 180324 de Marzo 28-03</t>
  </si>
  <si>
    <t>Tarifa Vigente Nov. 1 a Dic. 31/03</t>
  </si>
  <si>
    <t>Producto Importado</t>
  </si>
  <si>
    <t>Poliductos</t>
  </si>
  <si>
    <t>Tarifa Vigente hasta Febrero 28/03</t>
  </si>
  <si>
    <t>Tarifa Vigente hasta Dic. 31/04</t>
  </si>
  <si>
    <t>Entregas Buenaventura</t>
  </si>
  <si>
    <t>Tarifa Vigente Febrero 1 a Dic 31 /04</t>
  </si>
  <si>
    <t>Tarifa Vigente Febrero 1 a Dic 31 /05</t>
  </si>
  <si>
    <t>Diesel marino Yumbo - B/ventura</t>
  </si>
  <si>
    <t xml:space="preserve">** Nota: según resolución No 1817001 de diciembre 22 del 2003 el sector Buenaventura -Yumbo </t>
  </si>
  <si>
    <t xml:space="preserve">   disminuye en 30 pesos. (VIT-TEU-006379)</t>
  </si>
  <si>
    <t>Meta de inflación de 5% para 2009 y tasa de interés de intervención inalterada</t>
  </si>
  <si>
    <t>La estrategia de inflación objetivos en colombia</t>
  </si>
  <si>
    <t>La Junta Directiva del Banco de la República, en su sesión de hoy, fijó la meta de inflación para el año 2009 en el rango entre 4.5% y 5.5%, con 5% como meta puntual para efectos legales. Así mismo, fijó en 4% el punto medio del rango-meta de inflación para el año 2010 y confía que en el 2011 la inflación estará en el rango-meta de largo plazo (3% +/- 1 punto porcentual).</t>
  </si>
  <si>
    <t>Decisiones de política
Ante el anterior panorama macroeconómico, en septiembre de 2009 la Junta Directiva
del Banco de la República (JDBR) disminuyó 50 pb la tasa política, y
la dejó en 4%. En octubre mantuvo inalterada la tasa de interés de referencia y
fijó el objetivo de inflación para 2010 en la meta de largo plazo (entre 2% y 4%,
con punto medio de 3% para efectos legales). Así mismo, decidió dar una mayor
proporción de liquidez permanente para atender las necesidades de liquidez que
aumentan tradicionalmente en el fin de año. Para estos efectos comprará TES en
el mercado secundario y divisas por un monto de $3 billones.</t>
  </si>
  <si>
    <t>http://www.banrep.gov.co/documentos/publicaciones/inflacion/2009/septiembre_resumen.pdf</t>
  </si>
  <si>
    <t>NA</t>
  </si>
  <si>
    <t xml:space="preserve"> </t>
  </si>
  <si>
    <t>Ingreso al productor de la mezcla de ACPM- Biocombustible (1) (Diesel y Diesel Marino)</t>
  </si>
  <si>
    <t>Cartagena (Acpm puro)</t>
  </si>
  <si>
    <t>Barrancabermeja (Acpm puro)</t>
  </si>
  <si>
    <t xml:space="preserve">(1) Estructura de precio para el ACPM que se utiliza con destino a mezcla con un 10% de biocombustible para uso de motores diesel </t>
  </si>
  <si>
    <t>BIOCOMBUSTIBLE B100</t>
  </si>
  <si>
    <t>* No aplica para aquellos agentes que estén ubicados en Zonas de Frontera.</t>
  </si>
  <si>
    <t>** Aplica para aquellos agentes que estén ubicados en Zonas de Frontera.</t>
  </si>
  <si>
    <t>Año 2011</t>
  </si>
  <si>
    <t>IPC Real 2010 BanRep</t>
  </si>
  <si>
    <t>Tarifa Vigente 1 Ene. a Dic. 31/11</t>
  </si>
  <si>
    <t>Diesel Puro</t>
  </si>
  <si>
    <t>B5</t>
  </si>
  <si>
    <t>B7</t>
  </si>
  <si>
    <t>B8</t>
  </si>
  <si>
    <t>B10</t>
  </si>
  <si>
    <t>$/gl</t>
  </si>
  <si>
    <t>Nacional</t>
  </si>
  <si>
    <t>ZF importado</t>
  </si>
  <si>
    <t>Especiales</t>
  </si>
  <si>
    <t>Todo</t>
  </si>
  <si>
    <t>LA DORADA</t>
  </si>
  <si>
    <t>Tarifa según Resolución No. 18 0989 de Junio 17 de 2011</t>
  </si>
  <si>
    <t xml:space="preserve">Proporción Ingreso al productor del Alcohol Carburante </t>
  </si>
  <si>
    <t xml:space="preserve">Proporción Ingreso al productor de la Gasolina Motor Corriente </t>
  </si>
  <si>
    <t xml:space="preserve">Proporción Tarifa de transporte por poliductos de Gasolina Motor Corriente </t>
  </si>
  <si>
    <t xml:space="preserve">Proporción tarifa de transporte del Alcohol Carburante </t>
  </si>
  <si>
    <t>Gasolina Corriente Oxigenada 8%</t>
  </si>
  <si>
    <t>Gasolina Corriente Oxigenada 10%</t>
  </si>
  <si>
    <t>Margen Mayorista (MDM)</t>
  </si>
  <si>
    <t>Margen Minorista (MD)</t>
  </si>
  <si>
    <t>Manejo y despacho, incrementado por IPC anualmente. Modificado por la Resolución 182336 del 28 de Diciembre de 2011.</t>
  </si>
  <si>
    <t xml:space="preserve">Proporción Ingreso al productor del Biocombustible </t>
  </si>
  <si>
    <t>Recuperación Costos **</t>
  </si>
  <si>
    <t>Año 2012</t>
  </si>
  <si>
    <t>Tarifa Tramo  Febrero/11 Gl</t>
  </si>
  <si>
    <t>SUTAMARCHAN</t>
  </si>
  <si>
    <t>APIAY</t>
  </si>
  <si>
    <t>Tarifa según Resolución No. 124302 de Mayo 27 de 2011</t>
  </si>
  <si>
    <t>IPC Real 2011 BanRep</t>
  </si>
  <si>
    <t>Tarifa Vigente 1 Ene. a Dic. 31/12</t>
  </si>
  <si>
    <t>Banco de la República fija el rango meta de inflación para 2011 y mantiene inalterada tasa de interés de intervención</t>
  </si>
  <si>
    <t xml:space="preserve">La  Junta Directiva del Banco de la República en su sesión de hoy definió la meta de inflación de 2011 en un rango entre 2% y 4%, con 3% como meta puntual para efectos legales. </t>
  </si>
  <si>
    <t>http://www.banrep.gov.co/sala-prensa/com2010.html#05112010</t>
  </si>
  <si>
    <t>IP FACTURADO</t>
  </si>
  <si>
    <t>IP DESCUENTO</t>
  </si>
  <si>
    <t>DESCUENTO</t>
  </si>
  <si>
    <t>DIESEL</t>
  </si>
  <si>
    <t>Tarifa Tramo  Febrero/12 Gl</t>
  </si>
  <si>
    <t>COMBUSTIBLE PARA ACTIVIDADES MARITIMAS, PESQUERAS Y ACUICULTORES</t>
  </si>
  <si>
    <t>B2 PARA B10</t>
  </si>
  <si>
    <t>Manejo y operación</t>
  </si>
  <si>
    <t>CON DESTINO A SAN ANDRES Y PARA GENERACION ELECTRICA</t>
  </si>
  <si>
    <t xml:space="preserve">DIESEL MARINO </t>
  </si>
  <si>
    <t>DIESEL MARINO EXENTO</t>
  </si>
  <si>
    <t xml:space="preserve">DIESEL MARINO EXENTO CON DESCUENTO </t>
  </si>
  <si>
    <t>Precio Venta Distribuidor</t>
  </si>
  <si>
    <t>(*)  Corresponde al costo máximo del transporte  a través del sistema de poliductos, definido en la Resolución 18 088 del 30 de enero de 2003, modificada por las resoluciones 18 1701, 18 0320, 181300 y 18 0989, del 22 de diciembre de 2003, 27 de febrero de 2006, 23 de agosto de 2007 y 17 de junio de 2011, respectivamente</t>
  </si>
  <si>
    <t>(**)  Se calculará en cada sitio de entrega habilitado dependiente de la tarifa de transporte por poliductos que le corresponda, así como el margen al distribuidor mayorista y del transporte entre la planta de abastecimiento y la estación de servicio según sea el caso.</t>
  </si>
  <si>
    <t>(***)  Se calcularán y ajustaran a lo señalado en el Articulo 2° de la Resolución 18 1549 del 29 de noviembre de 2004, en el Articulo 1° de la Resolución 18 0769 del 29 de mayo de 2007, en la Resolución 18 1837 del 4 de noviembre de 2011 y en el articulo 1° y 3° de la Resolución 18 2336 del 28 de diciembre de 2011, Resolución número 18 1254 del 30 de julio de 2012.</t>
  </si>
  <si>
    <t>(****)  Se calculará de acuerdo con los señalado en el Articulo 3° del Decreto 3322 del 25 de septiembre de 2006</t>
  </si>
  <si>
    <t xml:space="preserve">(a)  Dicho margen está dirigido a remunerar a Ecopetrol S.A. las inversiones en el plan de continuidad para el abastecimiento del país y específicamente las expansión del sistema Pozos Colorados - Galán a 60 mil barriles por día de capacidad y parte el montaje del poliducto Mansilla - Tocancipá. </t>
  </si>
  <si>
    <t>(*)  Corresponde al costo máximo del transporte  a través del sistema de poliductos, definido en la Resolución 18 088 del 30 de enero de 2003, modificada por las resoluciones 18 1701, 18 0320, 181300 y 18 0989, del 22 de diciembre de 2003, 27 de febrero de 2006, 23 de agosto de 2007 y 17 de junio de 2011, respectivamente.</t>
  </si>
  <si>
    <r>
      <t xml:space="preserve">Margen plan de continuidad </t>
    </r>
    <r>
      <rPr>
        <b/>
        <vertAlign val="superscript"/>
        <sz val="11"/>
        <rFont val="Arial"/>
        <family val="2"/>
      </rPr>
      <t>(a)</t>
    </r>
  </si>
  <si>
    <t xml:space="preserve">Margen mayorista </t>
  </si>
  <si>
    <t xml:space="preserve">Margen minorista </t>
  </si>
  <si>
    <t>(****)</t>
  </si>
  <si>
    <t>(***)  Se calculará  en cada sitio de entrega habilitado dependiendo de las tarifas de transporte por poliductos y de alcohol que le corresponda, así como del margen al distribuidor mayorista y del transporte entre la planta de abastecimiento mayorista a la estación de servicio,  según sea el caso.</t>
  </si>
  <si>
    <t>(****)  Se calcularán y ajustaran a lo señalado en el Articulo 2° de la Resolución 18 1549 del 29 de noviembre de 2004, en el Articulo 1° de la Resolución 18 0769 del 29 de mayo de 2007, en la Resolución 18 1837 del 4 de noviembre de 2011 y en el articulo 1° y 3° de la Resolución 18 2336 del 28 de diciembre de 2011, Resolución número 18 1254 del 30 de julio de 2012.</t>
  </si>
  <si>
    <t>(*****)  Se calculará de acuerdo con los señalado en el Articulo 3° del Decreto 3322 del 25 de septiembre de 2006</t>
  </si>
  <si>
    <t>Transporte planta de abasto a estación de servicio</t>
  </si>
  <si>
    <r>
      <t>Margen plan de continuidad</t>
    </r>
    <r>
      <rPr>
        <b/>
        <vertAlign val="superscript"/>
        <sz val="11"/>
        <rFont val="Arial"/>
        <family val="2"/>
      </rPr>
      <t xml:space="preserve"> (a)</t>
    </r>
  </si>
  <si>
    <t>(**)  Se calculará  en cada sitio de entrega habilitado dependiendo de las tarifas de transporte por poliductos y de alcohol que le corresponda, así como del margen al distribuidor mayorista y del transporte entre la planta de abastecimiento mayorista a la estación de servicio,  según sea el caso.</t>
  </si>
  <si>
    <t>Tarifa de transporte por poliductos y/o manejo</t>
  </si>
  <si>
    <t>Proporción Tarifa de transporte por poliductos (*)</t>
  </si>
  <si>
    <t>Tarifa de transporte del biocombustible (**)</t>
  </si>
  <si>
    <t>(***)  Se calculará en cada sitio de entrega habilitado dependiente de la tarifa de transporte por poliductos que le corresponda, así como el margen al distribuidor mayorista y del transporte entre la planta de abastecimiento y la estación de servicio según sea el caso.</t>
  </si>
  <si>
    <t>Transporte de la planta de abastecimiento mayorista a estación</t>
  </si>
  <si>
    <t>Estos ítems se publican como una referencia y se calculan de acuerdo con lo dispuesto en las Resoluciones 18356, 18357, Y 18358 del 31 de octubre de 2003</t>
  </si>
  <si>
    <r>
      <t>Transporte por poliducto (</t>
    </r>
    <r>
      <rPr>
        <sz val="9"/>
        <rFont val="Arial"/>
        <family val="2"/>
      </rPr>
      <t>entregas Cartagena)</t>
    </r>
  </si>
  <si>
    <r>
      <t xml:space="preserve">Margen plan de continuidad </t>
    </r>
    <r>
      <rPr>
        <vertAlign val="superscript"/>
        <sz val="11"/>
        <rFont val="Arial"/>
        <family val="2"/>
      </rPr>
      <t>(a)</t>
    </r>
  </si>
  <si>
    <t>(**) Resolución 18 2336 del 28 de diciembre de 2011</t>
  </si>
  <si>
    <t>(****) Manejo de combustible y operación en los muelles utilizados por el distribuidor Mayorista en Cartagena y San Andrés, Resoluciones 18356, 18357 y 18358 de octubre 31 de 2003</t>
  </si>
  <si>
    <t>Tarifa de Transporte poliductos (*)</t>
  </si>
  <si>
    <t>Cabotaje Cartagena -San Andres</t>
  </si>
  <si>
    <t>(**) Manejo de combustible y operación en los muelles utilizados por el distribuidor Mayorista en Cartagena y San Andrés, Resoluciones 18356 y 18357 de octubre 31 de 2003</t>
  </si>
  <si>
    <t xml:space="preserve">Operación Muelle </t>
  </si>
  <si>
    <t>Tarifa de Transporte y manejo (*)</t>
  </si>
  <si>
    <t xml:space="preserve">DIESEL MARINO 2                 </t>
  </si>
  <si>
    <r>
      <t xml:space="preserve">Ingreso al Productor </t>
    </r>
    <r>
      <rPr>
        <sz val="9"/>
        <rFont val="Arial"/>
        <family val="2"/>
      </rPr>
      <t>(B2 sin destino a mezcla)</t>
    </r>
  </si>
  <si>
    <t>*** Tarifa según punto de entrega, la cual podrá ser  acordada con cada cliente. En Pozos Colorados Ecopetrol entregaría directamente como importador, aplica IVA para las ventas a empresas generadores de energía en zonas interconectadas y ventas a GCINI. En Cartagena y Barrancabermeja entrega el distribuidor mayorista</t>
  </si>
  <si>
    <r>
      <t xml:space="preserve">Ingreso al productor de ACPM puro </t>
    </r>
    <r>
      <rPr>
        <vertAlign val="superscript"/>
        <sz val="11"/>
        <rFont val="Arial"/>
        <family val="2"/>
      </rPr>
      <t>(1)</t>
    </r>
  </si>
  <si>
    <t>Proporción Tarifa de Transporte del B100 (****)</t>
  </si>
  <si>
    <t>Tarifa de entrega local y/o tarifa poliducto (***)</t>
  </si>
  <si>
    <t>(**) Se calculará y ajustará de acuerdo a lo señalado en las resoluciones 181661 del 23 de Octubre de 2007 , 181639 del 29 de septiembre de 2008, 180294 del 26 de febrero de 2009 y 181452 del 27 de Agosto de 2009.</t>
  </si>
  <si>
    <t>**** Se calculará y ajustará de acuerdo a lo señalado en las resoluciones 181661 del 23 de Octubre de 2007 , 181639 del 29 de septiembre de 2008, 180294 del 26 de febrero de 2009 y 181452 del 27 de Agosto de 2009.</t>
  </si>
  <si>
    <t>(*) Se calculará en cada sitio de entrega como e 92% del costo máximo del transporte de la gasolina motor corriente a través del sistema de poliductos, definido en la Resolución 180088 de 30 de enero de 2003, modificada por las resoluciones 181701, 180230, 181300 y 180989 del 22 de diciembre de 2003, 27 de febrero de 2006, 23 de agosto de 2007 y 17 de junio de 2011, respectivamente.</t>
  </si>
  <si>
    <t>(**)  Se calculará como del costo máximo de transporte de alcohol carburante entre las plantas destiladoras de dicho producto, ubicadas en el suroccidente del país y el eje cafetero, y las plantas de abastecimiento mayorista en las cuales se realizará la mezcla, definido en el Artículo 3º de la Resolución 18 1088 del 23 de agosto de 2005. Modificación de porcentajes en  Resolución 18 2368 de diciembre de 2009</t>
  </si>
  <si>
    <t>Precio de venta al distribuidor Mayorista</t>
  </si>
  <si>
    <t>(***) Transporte de cabotaje entre la ciudad de Cartagena y el Puerto de San Andrés, Resolución 181014 del 11 de Junio de 2010</t>
  </si>
  <si>
    <t>Resoluciones 181190 de noviembre 12 de 2012 y 180091 de enero 25 de 2012.</t>
  </si>
  <si>
    <t>(*) Transporte de cabotaje entre la ciudad de Cartagena y el Puerto de San Andrés, Resolución 181014 del 11 de Junio de 2010</t>
  </si>
  <si>
    <t>(*) Corresponde al costo máximo del transporte  a través del sistema de poliductos, definido en la Resolución 18 088 del 30 de enero de 2003, modificada por las resoluciones 18 1701, 18 0320, 181300 y 18 0989, del 22 de diciembre de 2003, 27 de febrero de 2006, 23 de agosto de 2007 y 17 de junio de 2011, respectivamente. Se debe tener en cuenta el transporte del biocombustible en los casos que aplique.</t>
  </si>
  <si>
    <t>Impuesto Nacional a la Gasolina y al ACPM</t>
  </si>
  <si>
    <t>DIESEL MARINO CON CUPO (ART 174 LEY 1607/12)</t>
  </si>
  <si>
    <t>B4 para B10  (con cupo y descuento)</t>
  </si>
  <si>
    <t>DIESEL MARINO 2 CON CUPO</t>
  </si>
  <si>
    <t xml:space="preserve">DIESEL MARINO 2 CON CUPO Y DESCUENTO </t>
  </si>
  <si>
    <t>Impuesto Nal</t>
  </si>
  <si>
    <t>IVA ELECTRO</t>
  </si>
  <si>
    <t>Biodiesel B4</t>
  </si>
  <si>
    <t xml:space="preserve">(2) Estructura de precio para el ACPM que se utiliza con destino a mezcla con un 8% de biocombustible para uso de motores diesel </t>
  </si>
  <si>
    <t>Impuesto sobre las Ventas</t>
  </si>
  <si>
    <t>RIO SOGAMOSO</t>
  </si>
  <si>
    <t>CHICHIMENE - APIAY</t>
  </si>
  <si>
    <t>Estructura de tarifas de transporte de Diesel Marino en Buenaventura</t>
  </si>
  <si>
    <t>Año 2013</t>
  </si>
  <si>
    <t>Tarifa Tramo  Febrero/13 Gl</t>
  </si>
  <si>
    <t>IPC Real 2012 BanRep</t>
  </si>
  <si>
    <t xml:space="preserve">Tarifa Vigente </t>
  </si>
  <si>
    <t>Tarifa Vigente</t>
  </si>
  <si>
    <t>(*) Tener en cuenta lo establecido en Parágrafo 1° del Artículo 167 de la Ley 1607.</t>
  </si>
  <si>
    <t xml:space="preserve">Margen plan de continuidad </t>
  </si>
  <si>
    <t>Tarifa de transporte por poliductos</t>
  </si>
  <si>
    <t>CARTAGENA</t>
  </si>
  <si>
    <t>BUCARAMANGA</t>
  </si>
  <si>
    <t>MEDELLIN</t>
  </si>
  <si>
    <t>CALI</t>
  </si>
  <si>
    <t>PEREIRA</t>
  </si>
  <si>
    <t>MANIZALES</t>
  </si>
  <si>
    <t>NEIVA</t>
  </si>
  <si>
    <t>Ingreso al productor de la mezcla ACPM- Biobcombustible</t>
  </si>
  <si>
    <t>Impuesto Nacional</t>
  </si>
  <si>
    <t>Margen plan de continuidad abastecimiento</t>
  </si>
  <si>
    <t>Tarifa de transporte por poliductos del B2 o B4</t>
  </si>
  <si>
    <t>Proporción - Tarifa de Transporte del biocombustible (2%) o (4%)</t>
  </si>
  <si>
    <r>
      <t xml:space="preserve">Tarifa de Marcación </t>
    </r>
    <r>
      <rPr>
        <vertAlign val="superscript"/>
        <sz val="11"/>
        <rFont val="Arial"/>
        <family val="2"/>
      </rPr>
      <t>(b)</t>
    </r>
  </si>
  <si>
    <t xml:space="preserve">(b)  No aplica tarifa de marcacón para el diesel marino con destino generación electrica </t>
  </si>
  <si>
    <t>(a)  Dicho margen está dirigido a remunerar a CENIT Transporte y Logística de Hidrocarburos S.A.S. en la forma establecida en la Resolución 90228 del 1° de Abril de 2013.</t>
  </si>
  <si>
    <t>Diesel Marino</t>
  </si>
  <si>
    <t>Cartagena (Diesel Marino) con Cupo</t>
  </si>
  <si>
    <t xml:space="preserve">Cartagena (Diesel Marino) </t>
  </si>
  <si>
    <t>PRECIO ESPECIAL DIESEL MARINO (DECRETO 753/13)(***)</t>
  </si>
  <si>
    <t>PRECIO ESPECIAL DIESEL MARINO CON CUPO (DECRETO 753/13)(***)</t>
  </si>
  <si>
    <t xml:space="preserve">(***) Mediante el Decreto 753 del 17 de abril de 2013, el Gobierno Nacional expidió el programa San Andrés, Providencia y Santa Catalina Fase II, señalado como uno de los proyectos a implementar para la promoción y el fortalecimiento de la extracción pesquera, con el fin de mantener la generación de empleos directos e indirectos en el Archipiélago, mediante el abastecimiento del combustible requerido por las embarcaciones para las faenas.    El beneficio económico establecido es por una suma de hasta novecientos catorce millones de pesos ($914,000,000)M/Cte para apoyar dicho propósito representado en un menor valor en el diesel marino que se vende a cada embarcación pesquera en el Archipiélago de San Andrés. </t>
  </si>
  <si>
    <t xml:space="preserve">(*****)  Los precios de facturación son los vigentes en la fecha de despacho del producto y pueden variar sin previo aviso </t>
  </si>
  <si>
    <t>ESTRUCTURAS DE PRECIOS PARA GASOLINA MOTOR CORRIENTE OXIGENADA VIGENTES A PARTIR DEL 27 DE AGOSTO (Medida transitoria por desabastecimiento)</t>
  </si>
  <si>
    <t>FACATATIVA / MANSILLA</t>
  </si>
  <si>
    <t>BOGOTA / PTE ARANDA</t>
  </si>
  <si>
    <t>BARRANQUILLA / GALAPA / BARANOA</t>
  </si>
  <si>
    <t>CARTAGO</t>
  </si>
  <si>
    <t>IBAGUE / GUALANDAY</t>
  </si>
  <si>
    <t>MARIQUITA</t>
  </si>
  <si>
    <t>BARRANCA-  BERMEJA</t>
  </si>
  <si>
    <t>SEBASTOPOL</t>
  </si>
  <si>
    <t>Resolución 9 0710 del 30 de agosto de 2013</t>
  </si>
  <si>
    <t>ESTRUCTURAS DE PRECIOS PARA LA MEZCLA DE BIOCOMBUSTIBLE PARA USO EN MOTORES DIESEL CON EL ACPM VIGENTES A PARTIR DE SEPTIEMBRE DE 2013 (Medida transitoria por desabastecimiento)</t>
  </si>
  <si>
    <t>Resolución 9 0687 del 27 de agosto de 2013 y Resolución 9 0711 del 30 de agosto de 2013</t>
  </si>
  <si>
    <t>Proporción Ingreso al Productor del ACPM</t>
  </si>
  <si>
    <t>Proporción Ingreso al Productor del  biocombustible</t>
  </si>
  <si>
    <t>BOGOTA / PTE ARANDA B2</t>
  </si>
  <si>
    <t>FACATATIVA / MANSILLA      B2</t>
  </si>
  <si>
    <t>CARTAGENA             B4</t>
  </si>
  <si>
    <t>BARRANQUILLA / GALAPA / BARANOA              B4</t>
  </si>
  <si>
    <t>BUCARAMANGA     B2</t>
  </si>
  <si>
    <t>MEDELLIN      B2</t>
  </si>
  <si>
    <t>CALI             B2</t>
  </si>
  <si>
    <t>CARTAGO         B2</t>
  </si>
  <si>
    <t>PEREIRA      B2</t>
  </si>
  <si>
    <t>MANIZALES      B2</t>
  </si>
  <si>
    <t>IBAGUE / GUALANDAY              B2</t>
  </si>
  <si>
    <t>MARIQUITA          B2</t>
  </si>
  <si>
    <t>NEIVA          B2</t>
  </si>
  <si>
    <t>BARRANCA-  BERMEJA                 B2</t>
  </si>
  <si>
    <t>SEBASTOPOL           B2</t>
  </si>
  <si>
    <t>Ingreso al Productor del ACPM (Resolución 9 0710)</t>
  </si>
  <si>
    <r>
      <t>Observaciones:</t>
    </r>
    <r>
      <rPr>
        <i/>
        <sz val="11"/>
        <rFont val="Arial"/>
        <family val="2"/>
      </rPr>
      <t xml:space="preserve"> De acuerdo con la Resolución 9 0710 del 30 de agosto de 2013, para las demás plantas de abastecimiento mayorista, el ingreso al productor del ACPM mezclado en los porcentajes señalados en el Artículo 1° de la misma se fija en $5.561,15 pesos por galón.</t>
    </r>
  </si>
  <si>
    <r>
      <t>Observaciones:</t>
    </r>
    <r>
      <rPr>
        <i/>
        <sz val="11"/>
        <rFont val="Arial"/>
        <family val="2"/>
      </rPr>
      <t xml:space="preserve"> De acuerdo con la Resolución 9 0687 del 27 de agosto de 2013, para las demás plantas de abastecimiento mayorista, el ingreso al productor de la gasolina motor corriente se fija en $4.922,08 pesos por galón.</t>
    </r>
  </si>
  <si>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</si>
  <si>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DIESEL MARINO CON CUPO (ART 174 LEY 1607/12) CON DESCUENTO****</t>
  </si>
  <si>
    <t>**** Vigente a partir del 2 de enero de 2014. Resolución 90002 de 2014</t>
  </si>
  <si>
    <t>Año 2014</t>
  </si>
  <si>
    <t>(*****)  Corresponde al costo máximo del transporte  a través del sistema de poliductos, definido en la Resolución 18 088 del 30 de enero de 2003, modificada por las resoluciones 18 1701, 18 0320, 181300 y 18 0989, del 22 de diciembre de 2003, 27 de febrero de 2006, 23 de agosto de 2007 y 17 de junio de 2011, respectivamente</t>
  </si>
  <si>
    <t>Año 2015</t>
  </si>
  <si>
    <t>IPC Real 2013 BanRep</t>
  </si>
  <si>
    <t>IPC Real 2014 BanRep</t>
  </si>
  <si>
    <t>Buenaventura (Acpm puro)</t>
  </si>
  <si>
    <t>Tax nacional Extra año anterior</t>
  </si>
  <si>
    <t>Tax nacional DMA año anterior</t>
  </si>
  <si>
    <t>Tax nacional Pesca Cabotaje año anterior</t>
  </si>
  <si>
    <t>Diesel Marino pesca cabotaje</t>
  </si>
  <si>
    <t>Gasolina Corriente San Andrés</t>
  </si>
  <si>
    <t>Diesel San Andrés</t>
  </si>
  <si>
    <t>Tax nacional GMR San Andrés año anterior</t>
  </si>
  <si>
    <t>Tax nacional ACPM San Andrés año anterior</t>
  </si>
  <si>
    <t>Tax nacional EXTRA San Andrés año anterior</t>
  </si>
  <si>
    <t>Gasolina Extra San Andrés</t>
  </si>
  <si>
    <t>Año 2016</t>
  </si>
  <si>
    <t>IPC Real 2015 BanRep</t>
  </si>
  <si>
    <t>Ingreso al Productor de DIESEL para Grandes Consumidores Individuales no Intermediarios (GCINI) de Diesel y Diesel Marino</t>
  </si>
  <si>
    <t>Nota: Este precio no aplica para ventas a Generadoras de Energía ubicadas en zonas interconectadas del territorio nacional</t>
  </si>
  <si>
    <t>Impuesto al carbono</t>
  </si>
  <si>
    <t>Tax nacional GMR año anterior</t>
  </si>
  <si>
    <t>Tax nacional ACPM año anterior</t>
  </si>
  <si>
    <t>Imp. Carbono</t>
  </si>
  <si>
    <t>Tax Carbono GMR</t>
  </si>
  <si>
    <t>Tax Carbono ACPM</t>
  </si>
  <si>
    <t>Tax Carbono Quero y Jet</t>
  </si>
  <si>
    <t>Tax Carbono Fuel Oil</t>
  </si>
  <si>
    <t>Gasolina</t>
  </si>
  <si>
    <t>Jet y Quero</t>
  </si>
  <si>
    <t>Fuel Oil</t>
  </si>
  <si>
    <t>(**)  Resolución 41277 de diciembre de 2016</t>
  </si>
  <si>
    <t>Año 2017</t>
  </si>
  <si>
    <t>IPC Real 2016 BanRep</t>
  </si>
  <si>
    <r>
      <t xml:space="preserve">Impuesto Nacional a la Gasolina y al ACPM </t>
    </r>
    <r>
      <rPr>
        <vertAlign val="superscript"/>
        <sz val="11"/>
        <rFont val="Arial"/>
        <family val="2"/>
      </rPr>
      <t>(*)( c )</t>
    </r>
  </si>
  <si>
    <t>(c) Aplica el Art. 1, Resolución No. 0004 de 2017 a partir del 1 de febrero 2017</t>
  </si>
  <si>
    <t>Tax nacional DMA pesqueros cabotaje</t>
  </si>
  <si>
    <t xml:space="preserve">Inflación 2016 </t>
  </si>
  <si>
    <t>normas que lo modifiquen o sustituyan, considerando la tarifa general del impuesto sobre las ventas que corresponde al 19%. El valor final se obtiene aplicando dicha tarifa sobre</t>
  </si>
  <si>
    <t>el IP fósil considerando el nivel de mezcla con biocombustible respectivo, si hay lugar.</t>
  </si>
  <si>
    <t>(3) Es el valor que se obtiene conforme se establece en el Artículo 467 del Estatuto Tributario, modificado por el Artículo 183 de la Ley 1819 del 29 de diciembre de 2016, a las</t>
  </si>
  <si>
    <t>(3)</t>
  </si>
  <si>
    <t>Nombre del parámetro en el sistema de precios</t>
  </si>
  <si>
    <t>CELDA</t>
  </si>
  <si>
    <t>Hoja donde se encuentra la celda con el valor</t>
  </si>
  <si>
    <t>Archivo: PRECIOS MENSUALES (Daniel Devis)</t>
  </si>
  <si>
    <t>B2</t>
  </si>
  <si>
    <t>ACPM MEZCLA AL 10% IP</t>
  </si>
  <si>
    <t>e7</t>
  </si>
  <si>
    <t>hoja combustibles</t>
  </si>
  <si>
    <t>ACPM MEZCLA AL 8% IP</t>
  </si>
  <si>
    <t>ACPM REGULAR IP</t>
  </si>
  <si>
    <t>GASOLINA MOTOR CTE IP</t>
  </si>
  <si>
    <t>b7</t>
  </si>
  <si>
    <t>GASOLINA MOTOR CTE PARA OXIGENAR IP AL 8%</t>
  </si>
  <si>
    <t>B2 ESTRUCTURA B10 IP</t>
  </si>
  <si>
    <t>e10</t>
  </si>
  <si>
    <t>B2 ESTRUCTURA B8 IP</t>
  </si>
  <si>
    <t>f10</t>
  </si>
  <si>
    <t>IP BIODIESEL</t>
  </si>
  <si>
    <t>Cálculo Precios de Regulados en el sistema de precios</t>
  </si>
  <si>
    <r>
      <rPr>
        <sz val="11"/>
        <color theme="1"/>
        <rFont val="Calibri"/>
        <family val="2"/>
      </rPr>
      <t xml:space="preserve">1)  Se corre la canasta llamada: </t>
    </r>
    <r>
      <rPr>
        <b/>
        <sz val="11"/>
        <color theme="1"/>
        <rFont val="Calibri"/>
        <family val="2"/>
        <scheme val="minor"/>
      </rPr>
      <t xml:space="preserve">   </t>
    </r>
    <r>
      <rPr>
        <sz val="10"/>
        <rFont val="Arial"/>
        <family val="2"/>
      </rPr>
      <t>CAN - GRE - REGULADOS MME 2016</t>
    </r>
  </si>
  <si>
    <t>2) Se ponen fechas:</t>
  </si>
  <si>
    <t xml:space="preserve">                                    Fecha Referencia: Cualquiera del mes que calculamos</t>
  </si>
  <si>
    <t xml:space="preserve">                                    Fecha Vigencia: del 1 del mes al 31 del mes</t>
  </si>
  <si>
    <t xml:space="preserve">                                    Fecha Series: No se pone nada</t>
  </si>
  <si>
    <t>3) Se comparan resultados con el archivo de Daniel Devis de acuerdo al cuadro siguiente:</t>
  </si>
  <si>
    <t>ACPM MARCACION</t>
  </si>
  <si>
    <t>ACPM REGULAR MARCACION</t>
  </si>
  <si>
    <t>Nombre del precio en el sistema de precios</t>
  </si>
  <si>
    <t>B2 MARCACION</t>
  </si>
  <si>
    <t>Archivo: Publicación (Daniel Devis)</t>
  </si>
  <si>
    <t>B4 MARCACION</t>
  </si>
  <si>
    <t>PRE-GRE-REAL-GASOLINA MOTOR REGULAR BALANCE VOLUMÉTRICO ZMCA - LIS_GRE_BALANCE VOLUMETRICO CARTAGENA</t>
  </si>
  <si>
    <t>Precio 0</t>
  </si>
  <si>
    <t>PRE-GRE-REAL-BIODIESEL B4 BALANCE VOLUMÉTRICO ZMCA - LIS_GRE_BALANCE VOLUMETRICO CARTAGENA</t>
  </si>
  <si>
    <t>PRE-GRE-REAL-ACPM BAJO AZUFRE BALANCE VOLUMÉTRICO ZMCA - LIS_GRE_BALANCE VOLUMETRICO CARTAGENA</t>
  </si>
  <si>
    <t>GASOLINAS CON MEZCLA MARCACION</t>
  </si>
  <si>
    <t>PRE-GRE-REAL-ACPM BAJO AZUFRE CARTAGENA ZPRE - LIS_GRE_REGULADOS MME 2016</t>
  </si>
  <si>
    <t>PRE-GRE-REAL-ACPM BAJO AZUFRE CARTAGENA ZMCA - LIS_GRE_REGULADOS MME 2016</t>
  </si>
  <si>
    <t>e8</t>
  </si>
  <si>
    <t>PRE-GRE-REAL-ACPM BAJO AZUFRE CARTAGENA ZUPM - LIS_GRE_REGULADOS MME 2016</t>
  </si>
  <si>
    <t>en la regulacion</t>
  </si>
  <si>
    <t>PRE-GRE-REAL-GASOLINA MOTOR REGULAR BASE PARA OXIGENAR ZUPM - LIS_GRE_REGULADOS MME 2016</t>
  </si>
  <si>
    <t>.</t>
  </si>
  <si>
    <t>PRE-GRE-REAL-GASOLINA MOTOR REGULAR BASE PARA OXIGENAR ZMCA - LIS_GRE_REGULADOS MME 2016</t>
  </si>
  <si>
    <t>b8</t>
  </si>
  <si>
    <t>PRE-GRE-REAL-GASOLINA MOTOR REGULAR BASE PARA OXIGENAR ZPRE - LIS_GRE_REGULADOS MME 2016</t>
  </si>
  <si>
    <t>PRE-GRE-REAL-BIODIESEL B2 EXTRA NACIONAL ZPRA - LIS_GRE_REGULADOS MME 2016</t>
  </si>
  <si>
    <t>hoja biodiesel</t>
  </si>
  <si>
    <t>PRE-GRE-REAL-BIODIESEL B2 EXTRA NACIONAL IP - LIS_GRE_REGULADOS MME 2016</t>
  </si>
  <si>
    <t>PRE-GRE-REAL-BIODIESEL B2 EXTRA NACIONAL ZMCA - LIS_GRE_REGULADOS MME 2016</t>
  </si>
  <si>
    <t>e14</t>
  </si>
  <si>
    <t>PRE-GRE-REAL-BIODIESEL B2 EXTRA NACIONAL ZPRB - LIS_GRE_REGULADOS MME 2016</t>
  </si>
  <si>
    <t>e9</t>
  </si>
  <si>
    <t>PRE-GRE-REAL-BIODIESEL B2 EXTRA NACIONAL ZUPM - LIS_GRE_REGULADOS MME 2016</t>
  </si>
  <si>
    <t>PRE-GRE-REAL-DIESEL VTA NACIONAL ZMCA - LIS_GRE_REGULADOS MME 2016</t>
  </si>
  <si>
    <t>PRE-GRE-REAL-DIESEL VTA NACIONAL ZPRE - LIS_GRE_REGULADOS MME 2016</t>
  </si>
  <si>
    <t>PRE-GRE-REAL-DIESEL VTA NACIONAL ZUPM - LIS_GRE_REGULADOS MME 2016</t>
  </si>
  <si>
    <t>PRE-GRE-REAL-DIESEL MARINO VTA NACIONAL ZPRE - LIS_GRE_REGULADOS MME 2016</t>
  </si>
  <si>
    <t>PRE-GRE-REAL-DIESEL MARINO VTA NACIONAL ZUPM - LIS_GRE_REGULADOS MME 2016</t>
  </si>
  <si>
    <t>PRE-GRE-REAL-BIODIESEL B4 VTA NACIONAL IP - LIS_GRE_REGULADOS MME 2016</t>
  </si>
  <si>
    <t>PRE-GRE-REAL-BIODIESEL B4 VTA NACIONAL ZMCA - LIS_GRE_REGULADOS MME 2016</t>
  </si>
  <si>
    <t>PRE-GRE-REAL-BIODIESEL B4 VTA NACIONAL ZPRA - LIS_GRE_REGULADOS MME 2016</t>
  </si>
  <si>
    <t>f8</t>
  </si>
  <si>
    <t>PRE-GRE-REAL-BIODIESEL B4 VTA NACIONAL ZPRB - LIS_GRE_REGULADOS MME 2016</t>
  </si>
  <si>
    <t>f9</t>
  </si>
  <si>
    <t>PRE-GRE-REAL-BIODIESEL B4 VTA NACIONAL ZUPM - LIS_GRE_REGULADOS MME 2016</t>
  </si>
  <si>
    <t>PRE-GRE-REAL-ACEM IMPORTADO VTA NACIONAL ZMCA - LIS_GRE_REGULADOS MME 2016</t>
  </si>
  <si>
    <t>PRE-GRE-REAL-ACEM IMPORTADO VTA NACIONAL ZPRE - LIS_GRE_REGULADOS MME 2016</t>
  </si>
  <si>
    <t>PRE-GRE-REAL-ACEM IMPORTADO VTA NACIONAL ZUPM - LIS_GRE_REGULADOS MME 2016</t>
  </si>
  <si>
    <t>PRE-GRE-REAL-DIESEL MARINO EXTRA B2E VTA NACIONAL IP - LIS_GRE_REGULADOS MME 2016</t>
  </si>
  <si>
    <t>PRE-GRE-REAL-DIESEL MARINO EXTRA B2E VTA NACIONAL ZPRA - LIS_GRE_REGULADOS MME 2016</t>
  </si>
  <si>
    <t>PRE-GRE-REAL-DIESEL MARINO EXTRA B2E VTA NACIONAL ZPRB - LIS_GRE_REGULADOS MME 2016</t>
  </si>
  <si>
    <t>PRE-GRE-REAL-DIESEL MARINO EXTRA B2E VTA NACIONAL ZUPM - LIS_GRE_REGULADOS MME 2016</t>
  </si>
  <si>
    <r>
      <t>ETIQUETA DE ACTUALIZACIÓN MASIVA :</t>
    </r>
    <r>
      <rPr>
        <b/>
        <sz val="14"/>
        <color theme="1"/>
        <rFont val="Calibri"/>
        <family val="2"/>
      </rPr>
      <t xml:space="preserve"> </t>
    </r>
    <r>
      <rPr>
        <b/>
        <sz val="16"/>
        <color theme="1"/>
        <rFont val="Calibri"/>
        <family val="2"/>
      </rPr>
      <t>NO REGULADOS</t>
    </r>
  </si>
  <si>
    <t>IP GASOLINA EXTRA</t>
  </si>
  <si>
    <t>D7</t>
  </si>
  <si>
    <t>IP AVIGAS BARRANCABERMEJA</t>
  </si>
  <si>
    <t>F7</t>
  </si>
  <si>
    <t>PRECIO BASE PESADA PARA IFOS</t>
  </si>
  <si>
    <t>NO SE ACTUALIZA</t>
  </si>
  <si>
    <t>Calculo del AviGas Spot</t>
  </si>
  <si>
    <t>Se debe ahora realizar el calculo del avigas spot en el archivo de excel  que esta en la carpeta del año en curso, para este calculo se actualiza la TRM</t>
  </si>
  <si>
    <t>Y el precio del avigas del mes del calculo que sacamos de la celda F7  del archivo de publicación (hoja combustibles)</t>
  </si>
  <si>
    <t>Despues se amplia la vigencia del diferencial del avigas spot  de los parametros simples</t>
  </si>
  <si>
    <t>Cálculo Precios de NO Regulados en el sistema de precios</t>
  </si>
  <si>
    <t>1) Se corre la    CAN - GRE - CARGUE DE PRECIOS NO REGULADOS - 29/07/2011</t>
  </si>
  <si>
    <t>PRE-GRE-REAL-AVIGAS BARRANCABERMEJA ZPRE - LIS_GRE_CARGUE PRECIOS NO REGULADOS</t>
  </si>
  <si>
    <t>este se compara con el archivo de excel del spot avigas</t>
  </si>
  <si>
    <t>PRE-GRE-REAL-GASOLINA EXTRA NACIONAL ZMCA - LIS_GRE_CARGUE PRECIOS NO REGULADOS</t>
  </si>
  <si>
    <t>PRE-GRE-REAL-GASOLINA EXTRA NACIONAL ZMCA ZDF - LIS_GRE_CARGUE PRECIOS NO REGULADOS</t>
  </si>
  <si>
    <t>PRE-GRE-REAL-GASOLINA EXTRA NACIONAL 1ZMCA VOL - LIS_GRE_CARGUE PRECIOS NO REGULADOS</t>
  </si>
  <si>
    <t>PRE-GRE-REAL-GASOLINA EXTRA NACIONAL 1ZPRE - LIS_GRE_CARGUE PRECIOS NO REGULADOS</t>
  </si>
  <si>
    <t>C7</t>
  </si>
  <si>
    <t>hoja gasolina extra oxigenada, archivo de dani</t>
  </si>
  <si>
    <t>PRE-GRE-REAL-AVIGAS CONTRATOS ZPRE - LIS_GRE_CARGUE PRECIOS NO REGULADOS</t>
  </si>
  <si>
    <t>Hoja combustibles</t>
  </si>
  <si>
    <t>PRE-GRE-REAL-GASOLINA MOTOR EXTRA IMPORTADA NO REGULADO 1ZMCA-PE_BARRANQUILLA - LIS_GRE_CARGUE PRECIOS NO REGULADOS</t>
  </si>
  <si>
    <t>PRE-GRE-REAL-GASOLINA MOTOR EXTRA IMPORTADA NO REGULADO ZUPM-PE_BARRANQUILLA - LIS_GRE_CARGUE PRECIOS NO REGULADOS</t>
  </si>
  <si>
    <t>PRE-GRE-REAL-GASOLINA MOTOR EXTRA IMPORTADA NO REGULADO ZMCA-PE_BARRANQUILLA - LIS_GRE_CARGUE PRECIOS NO REGULADOS</t>
  </si>
  <si>
    <t>PRE-GRE-REAL-GASOLINA MOTOR EXTRA IMPORTADA NO REGULADO ZPRE-PE_BARRANQUILLA - LIS_GRE_CARGUE PRECIOS NO REGULADOS</t>
  </si>
  <si>
    <r>
      <t>ETIQUETA DE ACTUALIZACIÓN MASIVA :</t>
    </r>
    <r>
      <rPr>
        <b/>
        <sz val="14"/>
        <color theme="1"/>
        <rFont val="Calibri"/>
        <family val="2"/>
      </rPr>
      <t xml:space="preserve"> </t>
    </r>
    <r>
      <rPr>
        <b/>
        <sz val="16"/>
        <color theme="1"/>
        <rFont val="Calibri"/>
        <family val="2"/>
      </rPr>
      <t>NORTE DE SANTANDER (zonas de frontera)</t>
    </r>
  </si>
  <si>
    <t>ACPM /B2 PRECIO PREFERENCIAL NORTE DE SANTANDER</t>
  </si>
  <si>
    <t>f4</t>
  </si>
  <si>
    <t>archivo zonas de frotnera hoja norte de santander base</t>
  </si>
  <si>
    <t>GASOLINA PRECIO PREFERENCIAL NORTE DE SANTANDER</t>
  </si>
  <si>
    <t>c4</t>
  </si>
  <si>
    <t>Cálculo Precios de Zonas de Frontera en el sistema de precios</t>
  </si>
  <si>
    <t>1) Se corre la    CAN - GRE - ZONAS DE FRONTERA</t>
  </si>
  <si>
    <t xml:space="preserve">                                    Fecha Series: no se pone NADA</t>
  </si>
  <si>
    <t>Archivo: Zonas de frontera (Daniel Devis)</t>
  </si>
  <si>
    <t>PRE-GRE-REAL-BIODIESEL B2 EXTRA ZONAS DE FRONTERA ZPRA - LIS_GRE_ZONAS DE FRONTERA</t>
  </si>
  <si>
    <t>Hoja Biodiesel</t>
  </si>
  <si>
    <t>PRE-GRE-REAL-BIODIESEL B2 EXTRA ZONAS DE FRONTERA ZPRB - LIS_GRE_ZONAS DE FRONTERA</t>
  </si>
  <si>
    <t>biodiesel</t>
  </si>
  <si>
    <t>PRE-GRE-REAL-GASOLINA MOTOR REGULAR ZONAS DE FRONTERA ZPRE - LIS_GRE_ZONAS DE FRONTERA</t>
  </si>
  <si>
    <t>combustibles</t>
  </si>
  <si>
    <t>PRE-GRE-REAL-DIESEL REFICAR ZPRE - LIS_GRE_ZONAS DE FRONTERA</t>
  </si>
  <si>
    <t>PRE-GRE-REAL-DIESEL ZONAS DE FRONTERA ZPRE - LIS_GRE_ZONAS DE FRONTERA</t>
  </si>
  <si>
    <t>otros deptos base</t>
  </si>
  <si>
    <t>PRE-GRE-REAL-GASOLINA MOTOR REGULAR ZONAS DE FRONTERA ZPRE-ZO_PUTUMAYO - LIS_GRE_ZONAS DE FRONTERA</t>
  </si>
  <si>
    <t>c3</t>
  </si>
  <si>
    <t>PRE-GRE-REAL-GASOLINA MOTOR REGULAR ZONAS DE FRONTERA ZPRE-ZO_VICHADA - LIS_GRE_ZONAS DE FRONTERA</t>
  </si>
  <si>
    <t>f2</t>
  </si>
  <si>
    <t>PRE-GRE-REAL-GASOLINA MOTOR REGULAR ZONAS DE FRONTERA ZPRE-ZO_NARIÑO - LIS_GRE_ZONAS DE FRONTERA</t>
  </si>
  <si>
    <t>c2</t>
  </si>
  <si>
    <t>PRE-GRE-REAL-GASOLINA MOTOR REGULAR ZONAS DE FRONTERA ZPRE-ZO_AMAZONAS - LIS_GRE_ZONAS DE FRONTERA</t>
  </si>
  <si>
    <t>c7</t>
  </si>
  <si>
    <t>PRE-GRE-REAL-GASOLINA MOTOR REGULAR ZONAS DE FRONTERA ZPRE-ZO_NORTE DE SANTANDER - LIS_GRE_ZONAS DE FRONTERA</t>
  </si>
  <si>
    <t>f7</t>
  </si>
  <si>
    <t>PRE-GRE-REAL-GASOLINA MOTOR REGULAR ZONAS DE FRONTERA ZPRE-ZO_CESAR - LIS_GRE_ZONAS DE FRONTERA</t>
  </si>
  <si>
    <t>PRE-GRE-REAL-GASOLINA MOTOR REGULAR ZONAS DE FRONTERA ZPRE-ZO_GUAJIRA - LIS_GRE_ZONAS DE FRONTERA</t>
  </si>
  <si>
    <t>guajira base</t>
  </si>
  <si>
    <t>PRE-GRE-REAL-BIODIESEL B2 EXTRA ZONAS DE FRONTERA IP-ZO_VICHADA - LIS_GRE_ZONAS DE FRONTERA</t>
  </si>
  <si>
    <t>f23</t>
  </si>
  <si>
    <t>PRE-GRE-REAL-BIODIESEL B2 EXTRA ZONAS DE FRONTERA ZMCA-ZO_VICHADA - LIS_GRE_ZONAS DE FRONTERA</t>
  </si>
  <si>
    <t>PRE-GRE-REAL-BIODIESEL B2 EXTRA ZONAS DE FRONTERA ZPRA-ZO_VICHADA - LIS_GRE_ZONAS DE FRONTERA</t>
  </si>
  <si>
    <t>g3</t>
  </si>
  <si>
    <t>PRE-GRE-REAL-BIODIESEL B2 EXTRA ZONAS DE FRONTERA ZPRB-ZO_VICHADA - LIS_GRE_ZONAS DE FRONTERA</t>
  </si>
  <si>
    <t>f22</t>
  </si>
  <si>
    <t>PRE-GRE-REAL-BIODIESEL B2 EXTRA ZONAS DE FRONTERA IP-ZO_NARIÑO - LIS_GRE_ZONAS DE FRONTERA</t>
  </si>
  <si>
    <t>i7</t>
  </si>
  <si>
    <t>nariño putumayo base</t>
  </si>
  <si>
    <t>PRE-GRE-REAL-BIODIESEL B2 EXTRA ZONAS DE FRONTERA ZPRA-ZO_NARIÑO - LIS_GRE_ZONAS DE FRONTERA</t>
  </si>
  <si>
    <t>i5</t>
  </si>
  <si>
    <t>PRE-GRE-REAL-BIODIESEL B2 EXTRA ZONAS DE FRONTERA ZPRB-ZO_NARIÑO - LIS_GRE_ZONAS DE FRONTERA</t>
  </si>
  <si>
    <t>i6</t>
  </si>
  <si>
    <t>PRE-GRE-REAL-BIODIESEL B2 EXTRA ZONAS DE FRONTERA IP-ZO_AMAZONAS - LIS_GRE_ZONAS DE FRONTERA</t>
  </si>
  <si>
    <t>g6</t>
  </si>
  <si>
    <t>amazonas base</t>
  </si>
  <si>
    <t>PRE-GRE-REAL-BIODIESEL B2 EXTRA ZONAS DE FRONTERA ZPRA-ZO_AMAZONAS - LIS_GRE_ZONAS DE FRONTERA</t>
  </si>
  <si>
    <t>g4</t>
  </si>
  <si>
    <t>PRE-GRE-REAL-BIODIESEL B2 EXTRA ZONAS DE FRONTERA ZPRB-ZO_AMAZONAS - LIS_GRE_ZONAS DE FRONTERA</t>
  </si>
  <si>
    <t>g5</t>
  </si>
  <si>
    <t>PRE-GRE-REAL-BIODIESEL B2 EXTRA ZONAS DE FRONTERA IP-ZO_NORTE DE SANTANDER - LIS_GRE_ZONAS DE FRONTERA</t>
  </si>
  <si>
    <t>f6</t>
  </si>
  <si>
    <t>norte de santander base</t>
  </si>
  <si>
    <t>PRE-GRE-REAL-BIODIESEL B2 EXTRA ZONAS DE FRONTERA ZPRA-ZO_NORTE DE SANTANDER - LIS_GRE_ZONAS DE FRONTERA</t>
  </si>
  <si>
    <t>PRE-GRE-REAL-BIODIESEL B2 EXTRA ZONAS DE FRONTERA ZPRB-ZO_NORTE DE SANTANDER - LIS_GRE_ZONAS DE FRONTERA</t>
  </si>
  <si>
    <t>f5</t>
  </si>
  <si>
    <t>PRE-GRE-REAL-BIODIESEL B4 ZONAS DE FRONTERA ZMCA - LIS_GRE_ZONAS DE FRONTERA</t>
  </si>
  <si>
    <t>Electrocombustible</t>
  </si>
  <si>
    <t>Cálculo Precios de Electrocombustible en el sistema de precios</t>
  </si>
  <si>
    <t>1) Se corre la    CAN - GRE - ELECTROCOMBUSTIBLE</t>
  </si>
  <si>
    <t xml:space="preserve">                                    Fecha Series: no se pone nada</t>
  </si>
  <si>
    <t>PRE-GRE-REAL-ELECTROCOMBUSTIBLE 2 ELECTROCOMBUSTIBLE 2 1ZPRB - LIS_GRE_ELECTROCOMBUSTIBLE</t>
  </si>
  <si>
    <t>PRE-GRE-REAL-ELECTROCOMBUSTIBLE 2 ELECTROCOMBUSTIBLE 2 1IP - LIS_GRE_ELECTROCOMBUSTIBLE</t>
  </si>
  <si>
    <t>PRE-GRE-REAL-ELECTROCOMBUSTIBLE 2 ELECTROCOMBUSTIBLE 2 1ZPRA - LIS_GRE_ELECTROCOMBUSTIBLE</t>
  </si>
  <si>
    <t>PRE-GRE-REAL-ELECTROCOMBUSTIBLE REGULADO 1ZMCA - LIS_GRE_ELECTROCOMBUSTIBLE</t>
  </si>
  <si>
    <t>PRE-GRE-REAL-ELECTROCOMBUSTIBLE REGULADO 1ZPRA - LIS_GRE_ELECTROCOMBUSTIBLE</t>
  </si>
  <si>
    <t>PRE-GRE-REAL-ELECTROCOMBUSTIBLE 2 REFICAR 1IP - LIS_GRE_ELECTROCOMBUSTIBLE</t>
  </si>
  <si>
    <t>PRE-GRE-REAL-ELECTROCOMBUSTIBLE 2 REFICAR 1ZMCA - LIS_GRE_ELECTROCOMBUSTIBLE</t>
  </si>
  <si>
    <t>PRE-GRE-REAL-ELECTROCOMBUSTIBLE 2 REFICAR 1ZPRA - LIS_GRE_ELECTROCOMBUSTIBLE</t>
  </si>
  <si>
    <t>PRE-GRE-REAL-ELECTROCOMBUSTIBLE 2 REFICAR 1ZPRB - LIS_GRE_ELECTROCOMBUSTIBLE</t>
  </si>
  <si>
    <t>Pesqueros</t>
  </si>
  <si>
    <t>Cálculo Precios de Pesqueros en el sistema de precios</t>
  </si>
  <si>
    <t>1) Se corre la    CAN - GRE - DESCUENTO PESQUEROS</t>
  </si>
  <si>
    <t>PRE-GRE-REAL-BIODIESEL B4 DESCUENTO PESQUEROS ZPES - LIS_GRE_DESCUENTO PESQUEROS</t>
  </si>
  <si>
    <t>I111</t>
  </si>
  <si>
    <t>Diesel marino</t>
  </si>
  <si>
    <t>PRE-GRE-REAL-DIESEL DESCUENTO PESQUEROS ZPES - LIS_GRE_DESCUENTO PESQUEROS</t>
  </si>
  <si>
    <t>I109</t>
  </si>
  <si>
    <t>PRE-GRE-REAL-DIESEL MARINO DESCUENTO PESQUEROS ZPES - LIS_GRE_DESCUENTO PESQUEROS</t>
  </si>
  <si>
    <t>PRE-GRE-REAL-DIESEL MARINO EXTRA B2E NACIONAL ZPES - LIS_GRE_DESCUENTO PESQUEROS</t>
  </si>
  <si>
    <t>I110</t>
  </si>
  <si>
    <t>PRE-GRE-REAL-BIODIESEL B2 EXTRA DESCUENTO PESQUEROS ZPES - LIS_GRE_DESCUENTO PESQUEROS</t>
  </si>
  <si>
    <t>I112</t>
  </si>
  <si>
    <t>Guajira</t>
  </si>
  <si>
    <t>Cálculo Precios de Guajira en el sistema de precios</t>
  </si>
  <si>
    <t>1) Se corre la    CAN - GRE - GUAJIRA PRECIO ESPECIAL</t>
  </si>
  <si>
    <t>PRE-GRE-REAL-ACPM BAJO AZUFRE ZONAS DE FRONTERA ZPRE - LIS_GRE_PRECIO GUAJIRA ESPECIAL</t>
  </si>
  <si>
    <t>I7</t>
  </si>
  <si>
    <t>guajira base del archivo zonas de frontera</t>
  </si>
  <si>
    <t>PRE-GRE-REAL-DIESEL NACIONAL ZPRE - LIS_GRE_PRECIO GUAJIRA ESPECIAL</t>
  </si>
  <si>
    <t>PRE-GRE-REAL-GASOLINA MOTOR REGULAR NACIONAL ZPRE - LIS_GRE_PRECIO GUAJIRA ESPECIAL</t>
  </si>
  <si>
    <t>Tarifa bios</t>
  </si>
  <si>
    <t>Cálculo Precios de Tarifa Bios en el sistema de precios</t>
  </si>
  <si>
    <t>1) Se corre la  CAN - GRE - ESTRUCTURA TARIFA BIO PRECIOS PARAMETROS </t>
  </si>
  <si>
    <t>3) LOS 8 PRECIOS SALEN EN CEROS</t>
  </si>
  <si>
    <t>Gasolina importada</t>
  </si>
  <si>
    <t>Cálculo Precios de Gasolina importada en el sistema de precios</t>
  </si>
  <si>
    <t>1) Se corre la  CAN - GRE - GASOLINA MOTOR IMPORTADA</t>
  </si>
  <si>
    <t>RE-GRE-REAL-GASOLINA MOTOR REGULAR IMPORTACION NACIONAL ZMCA - LIS_GRE_GASOLINA IMPORTADA</t>
  </si>
  <si>
    <t>RE-GRE-REAL-GASOLINA MOTOR REGULAR IMPORTACION NACIONAL ZPRE - LIS_GRE_GASOLINA IMPORTADA</t>
  </si>
  <si>
    <t>PRE-GRE-REAL-GASOLINA MOTOR REGULAR IMPORTACION NACIONAL ZUPM - LIS_GRE_GASOLINA IMPORTADA</t>
  </si>
  <si>
    <t>Balance Volumetrico Reficar</t>
  </si>
  <si>
    <t>Cálculo Precios de Balance volumetrico Reficar en el sistema de precios</t>
  </si>
  <si>
    <t>1) Se corre la  CAN - GRE - BALANCE VOLUMETRICO</t>
  </si>
  <si>
    <t>TEXTOS PARA LAS PLANTILLAS</t>
  </si>
  <si>
    <t>Archivo: ZONAS DE FRONTERA (Daniel Devis)</t>
  </si>
  <si>
    <t>Archivo: Archivo publicación (Daniel Devis)</t>
  </si>
  <si>
    <t>PRE-GRE-REAL-ACPM BAJO AZUFRE REFICAR ZPRE - LIS_GRE_REGULADOS MME 2016</t>
  </si>
  <si>
    <t>PRE-GRE-REAL-ACPM BAJO AZUFRE REFICAR ZUPM - LIS_GRE_REGULADOS MME 2016</t>
  </si>
  <si>
    <t>PRE-GRE-REAL-ACPM BAJO AZUFRE REFICAR ZMCA - LIS_GRE_REGULADOS MME 2016</t>
  </si>
  <si>
    <t>PRE-GRE-REAL-GASOLINA EXTRA BALANCE VOLUMÉTRICO ZMCA - LIS_GRE_BALANCE VOLUMETRICO CARTAGENA</t>
  </si>
  <si>
    <r>
      <t xml:space="preserve">PRE-GRE-REAL-GASOLINA EXTRA NACIONAL </t>
    </r>
    <r>
      <rPr>
        <sz val="8.8000000000000007"/>
        <color theme="1"/>
        <rFont val="Calibri"/>
        <family val="2"/>
      </rPr>
      <t>ZUPM</t>
    </r>
    <r>
      <rPr>
        <sz val="10"/>
        <rFont val="Arial"/>
        <family val="2"/>
      </rPr>
      <t xml:space="preserve"> - LIS_GRE_CARGUE PRECIOS NO REGULADOS</t>
    </r>
  </si>
  <si>
    <t>3) LOS 4 PRECIOS SALEN EN CEROS</t>
  </si>
  <si>
    <t>REGULADOS MME 2016</t>
  </si>
  <si>
    <t>NO REGULADOS MENSUALES</t>
  </si>
  <si>
    <t>Cálculo de los precios de los combustibles  de acuerdo con la resolución del MME</t>
  </si>
  <si>
    <t>Cálculo de los precios de los combustibles  de acuerdo a lo aprobado en comité de precios de VCM</t>
  </si>
  <si>
    <t>ELECTROCOMBUSTIBLE</t>
  </si>
  <si>
    <t>DESCUENTO PESQUEROS</t>
  </si>
  <si>
    <t>ESTRUCTURA TARIFA BIO</t>
  </si>
  <si>
    <t>GASOLINA IMPORTADA</t>
  </si>
  <si>
    <t>DIFERENCIAL PRECIO SPOT AVIGAS</t>
  </si>
  <si>
    <t>No esta en la actualización masiva</t>
  </si>
  <si>
    <t>TRM_REAL_2DECIMALES REAL</t>
  </si>
  <si>
    <t>FOR-GRE-ZPES B2 SIN MEZCLA</t>
  </si>
  <si>
    <t>Parametros simples</t>
  </si>
  <si>
    <t>DESCUENTO PESQUEROS SIN MEZCLA B/VENTURA</t>
  </si>
  <si>
    <t>B2 SIN DESTINO A MEZCLA (B/VENTURA)</t>
  </si>
  <si>
    <t>DIESEL  (B/VENTURA)</t>
  </si>
  <si>
    <t>PRODUCTO</t>
  </si>
  <si>
    <t>Actualizar Aquí</t>
  </si>
  <si>
    <t xml:space="preserve">                                    Fecha Series: del 1 al 25 del mes mes n-1</t>
  </si>
  <si>
    <t>Inflación 2017</t>
  </si>
  <si>
    <t>Año 2018</t>
  </si>
  <si>
    <t>Resolución redondea</t>
  </si>
  <si>
    <t>Cargados hasta diciembre</t>
  </si>
  <si>
    <t>NOMBRE EN SP</t>
  </si>
  <si>
    <t>ZONA DE FRONTERA</t>
  </si>
  <si>
    <t>GUAJIRA PRECIO ESPECIAL</t>
  </si>
  <si>
    <t>BALANCE VOLUMETRICO</t>
  </si>
  <si>
    <t>Año 2019</t>
  </si>
  <si>
    <t>FEB 1 A FEB 28  2019</t>
  </si>
  <si>
    <t>Inflación 2018</t>
  </si>
  <si>
    <t>ok</t>
  </si>
  <si>
    <t xml:space="preserve">Gasolina Corriente Base para Oxigenar </t>
  </si>
  <si>
    <t>OK</t>
  </si>
  <si>
    <t>VALOR</t>
  </si>
  <si>
    <t>DFD</t>
  </si>
  <si>
    <t>PRE-GRE-REAL-ACPM BAJO AZUFRE NACIONAL 2ZPRE - LIS_GRE_REGULADOS MME 2016</t>
  </si>
  <si>
    <t>PRE-GRE-REAL-ACPM BAJO AZUFRE NACIONAL 2ZUPM - LIS_GRE_REGULADOS MME 2016</t>
  </si>
  <si>
    <t>PRE-GRE-REAL-ACPM BAJO AZUFRE NACIONAL 2ZMAC - LIS_GRE_REGULADOS MME 2016</t>
  </si>
  <si>
    <t>PRE-GRE-REAL-GASOLINA MOTOR REGULAR IAD81 NACIONAL 2ZPRE - LIS_GRE_REGULADOS MME 2016</t>
  </si>
  <si>
    <t>PRE-GRE-REAL-GASOLINA MOTOR REGULAR IAD81 NACIONAL 2ZUPM - LIS_GRE_REGULADOS MME 2016</t>
  </si>
  <si>
    <t>PRE-GRE-REAL-GASOLINA MOTOR REGULAR IAD81 NACIONAL 2ZMAC - LIS_GRE_REGULADOS MME 2016</t>
  </si>
  <si>
    <t>PRE-GRE-REAL-ACPM BAJO AZUFRE NACIONAL 2ZMRC - LIS_GRE_REGULADOS MME 2016</t>
  </si>
  <si>
    <t>PRE-GRE-REAL-GASOLINA MOTOR REGULAR IAD81 NACIONAL 2ZMRC - LIS_GRE_REGULADOS MME 2016</t>
  </si>
  <si>
    <t>PRE-GRE-REAL-DIESEL MARINO DESCUENTO PESQUEROS ZPES-PR_BUENAVENTURA - LIS_GRE_DESCUENTO PESQUEROS</t>
  </si>
  <si>
    <t>PRE-GRE-REAL-DIESEL MARINO EXTRA B2E DESCUENTO PESQUEROS ZPES-PR_BUENAVENTURA - LIS_GRE_DESCUENTO PESQUEROS</t>
  </si>
  <si>
    <t>(3) Es el valor que se obtiene conforme se establece en el Artículo 467 del Estatuto Tributario, modificado por el Artículo 183 de la Ley 1819 del 29 de diciembre de 2016 y el artículo 74 de la Ley 1955 del 25 de mayo de 2019, o las normas que lo modifiquen o sustituyan, considerando que dentro de los bienes gravados con la tarifa del 5% prevista en el articulo 468-1 del Estatuto Tributario, se incliuyo el ingreso al productor en la venta de gasolina y ACPM. El valor final se obtiene aplicando dicha tarifa sobre el IP fósil considerando el nivel de mezcla con biocombustible respectivo, si hay lugar.</t>
  </si>
  <si>
    <r>
      <t xml:space="preserve">Biodiesel B2 con destino a mezcla  /   </t>
    </r>
    <r>
      <rPr>
        <b/>
        <sz val="11"/>
        <color theme="8" tint="0.39997558519241921"/>
        <rFont val="Arial"/>
        <family val="2"/>
      </rPr>
      <t>B2T</t>
    </r>
  </si>
  <si>
    <t>PRE-GRE-REAL-BIODIESEL B2T EXTRA NACIONAL 1IP - LIS_GRE_REGULADOS MME 2016</t>
  </si>
  <si>
    <t>PRE-GRE-REAL-BIODIESEL B2T EXTRA NACIONAL 1ZUPM - LIS_GRE_REGULADOS MME 2016</t>
  </si>
  <si>
    <t>PRE-GRE-REAL-BIODIESEL B2T EXTRA NACIONAL ZMRC - LIS_GRE_REGULADOS MME 2016</t>
  </si>
  <si>
    <t>PRE-GRE-REAL-BIODIESEL B2T EXTRA NACIONAL 1ZPRB - LIS_GRE_REGULADOS MME 2016</t>
  </si>
  <si>
    <t>PRE-GRE-REAL-BIODIESEL B2T EXTRA NACIONAL 1ZPRA - LIS_GRE_REGULADOS MME 2016</t>
  </si>
  <si>
    <t>(3) Es el valor que se obtiene conforme se establece en el Artículo 467 del Estatuto Tributario, modificado por el Artículo 183 de la Ley 1819 del 29 de diciembre de 2016 y el artículo 74 de la Ley 1955 del 25 de mayo de 2019, o las normas que lo modifiquen o sustituyan, considerando que dentro de los bienes gravados con la tarifa del 5% prevista en el articulo 468-1 del Estatuto Tributario, se incliuyo el ingreso al productor en la venta de gasolina y ACPM. El valor final se obtiene aplicando dicha tarifa sobre el IP fósil considerando el nivel de mezcla con biocombustible respectivo, si hay lugar.artículo 74 de la Ley 1955 del 25 de mayo de 2019, o las normas que lo modifiquen o sustituyan, considerando que dentro de los bienes gravados con la tarifa del 5% prevista en el articulo 468-1 del Estatuto Tributario, se incliuyo el ingreso al productor en la venta de gasolina y ACPM. El valor final se obtiene aplicando dicha tarifa sobre el IP fósil considerando el nivel de mezcla con biocombustible respectivo, si hay lugar.</t>
  </si>
  <si>
    <t>PRE-GRE-REAL-BIODIESEL B2B EXTRA NACIONAL 1IP - LIS_GRE_REGULADOS MME 2016</t>
  </si>
  <si>
    <t>PRE-GRE-REAL-BIODIESEL B2B EXTRA NACIONAL 1ZUPM - LIS_GRE_REGULADOS MME 2016</t>
  </si>
  <si>
    <t>PRE-GRE-REAL-BIODIESEL B2B EXTRA NACIONAL ZMRC - LIS_GRE_REGULADOS MME 2016</t>
  </si>
  <si>
    <t>PRE-GRE-REAL-BIODIESEL B2B EXTRA NACIONAL 1ZPRA - LIS_GRE_REGULADOS MME 2016</t>
  </si>
  <si>
    <t xml:space="preserve">  </t>
  </si>
  <si>
    <t>(3) Es el valor que se obtiene conforme se establece en el Artículo 467 del Estatuto Tributario, modificado por el Artículo 183 de la Ley 1819 del 29 de diciembre de 2016, a las normas que lo modifiquen o sustituyan, considerando la tarifa general del impuesto sobre las ventas que corresponde al 19%. El valor final se obtiene aplicando dicha tarifa sobre el IP fósil considerando el nivel de mezcla con biocombustible respectivo, si hay lugar.</t>
  </si>
  <si>
    <t>Gasolina Extra  Base para Oxigenar  Ecopetrol</t>
  </si>
  <si>
    <t>Gasolina Extra  Base para Oxigenar  Reficar</t>
  </si>
  <si>
    <t>Ingreso al productor de la mezcla de ACPM- Biocombustible (B2, B12)</t>
  </si>
  <si>
    <t>DIESEL MARINO 2  CON CUPO (ART 174 LEY 1607/12) CON DESCUENTO****</t>
  </si>
  <si>
    <t>REAL-BIODIESEL B2B EXTRA NACIONAL 1ZPRB - LIS_GRE_REGULADOS MME 2016</t>
  </si>
  <si>
    <t>Cartagena (B2)</t>
  </si>
  <si>
    <r>
      <t xml:space="preserve">Barrancabermeja (B2 o B2 extra) </t>
    </r>
    <r>
      <rPr>
        <b/>
        <sz val="8"/>
        <color theme="0"/>
        <rFont val="Arial"/>
        <family val="2"/>
      </rPr>
      <t>Estructura B12</t>
    </r>
  </si>
  <si>
    <r>
      <t xml:space="preserve"> Buenaventura (B2 o B2 extra) </t>
    </r>
    <r>
      <rPr>
        <b/>
        <sz val="9"/>
        <color theme="0"/>
        <rFont val="Arial"/>
        <family val="2"/>
      </rPr>
      <t>Estructura B12</t>
    </r>
  </si>
  <si>
    <t xml:space="preserve"> B2  (con cupo y descuento)</t>
  </si>
  <si>
    <t>PRE-GRE-REAL-BIODIESEL B2 EXTRA NACIONAL IP-ZO_COSTA ATLÁNTICA - LIS_GRE_REGULADOS MME 2016</t>
  </si>
  <si>
    <t>(*) Resolución 180324 de marzo 28 de 2003. La tarifa podrá ser consultada en la página de CENIT</t>
  </si>
  <si>
    <t>PRE-GRE-REAL-BIODIESEL B2 EXTRA NACIONAL ZUPM-ZO_COSTA ATLÁNTICA - LIS_GRE_REGULADOS MME 2016</t>
  </si>
  <si>
    <t>PRE-GRE-REAL-BIODIESEL B2 EXTRA NACIONAL ZMCA-ZO_COSTA ATLÁNTICA - LIS_GRE_REGULADOS MME 2016</t>
  </si>
  <si>
    <t>PRE-GRE-REAL-GASOLINA MOTOR REGULAR IAD81 BUENAVENTURA - Z00022 ZMCA - LIS_GRE_REGULADOS MME 2016</t>
  </si>
  <si>
    <t>PRE-GRE-REAL-GASOLINA MOTOR REGULAR IAD81 BUENAVENTURA - Z00022 ZPRE - LIS_GRE_REGULADOS MME 2016</t>
  </si>
  <si>
    <t>PRE-GRE-REAL-GASOLINA MOTOR REGULAR SAN ANDRES ZPRE - LIS_GRE_REGULADOS MME 2016</t>
  </si>
  <si>
    <t>PRE-GRE-REAL-BIODIESEL B2 EXTRA NACIONAL ZMRC-ZO_COSTA ATLÁNTICA - LIS_GRE_REGULADOS MME 2016</t>
  </si>
  <si>
    <t>PRE-GRE-REAL-BIODIESEL B2 EXTRA NACIONAL ZPRB-ZO_COSTA ATLÁNTICA - LIS_GRE_REGULADOS MME 2016</t>
  </si>
  <si>
    <t>PRE-GRE-REAL-BIODIESEL B2 EXTRA SAN ANDRES IP - LIS_GRE_REGULADOS MME 2016</t>
  </si>
  <si>
    <t>PRE-GRE-REAL-BIODIESEL B2 EXTRA SAN ANDRES ZPRA - LIS_GRE_REGULADOS MME 2016</t>
  </si>
  <si>
    <t>PRE-GRE-REAL-BIODIESEL B2 EXTRA NACIONAL ZPRA-ZO_COSTA ATLÁNTICA - LIS_GRE_REGULADOS MME 2016</t>
  </si>
  <si>
    <t>PRE-GRE-REAL-BIODIESEL B2 EXTRA SAN ANDRES ZPRB - LIS_GRE_REGULADOS MME 2016</t>
  </si>
  <si>
    <t>DMA SAN ANDRES</t>
  </si>
  <si>
    <t>Resolución DIAN</t>
  </si>
  <si>
    <t>ACPM Base para Mezcla al 10% (1)</t>
  </si>
  <si>
    <r>
      <t xml:space="preserve">Biodiesel B10/   </t>
    </r>
    <r>
      <rPr>
        <b/>
        <sz val="11"/>
        <color theme="3" tint="0.59999389629810485"/>
        <rFont val="Arial"/>
        <family val="2"/>
      </rPr>
      <t>B10T</t>
    </r>
  </si>
  <si>
    <t>PRE-GRE-REAL-DIESEL MARINO SAN ANDRES ZPRE - LIS_GRE_REGULADOS MME 2016</t>
  </si>
  <si>
    <t>por galón para gasolina motor corriente</t>
  </si>
  <si>
    <t>por galón para ACPM</t>
  </si>
  <si>
    <t>Medida estabilización del ingreso al productor Resolución Ministerio de Hacienda y Crédito Público</t>
  </si>
  <si>
    <t>PRE-GRE-REAL-DIESEL MARINO EXTRA B2B BUENAVENTURA - CABOJE - Z00005 IP - LIS_GRE_REGULADOS MME 2016</t>
  </si>
  <si>
    <t>PRE-GRE-REAL-DIESEL MARINO EXTRA B2B BUENAVENTURA - CABOJE - Z00005 ZUPM - LIS_GRE_REGULADOS MME 2016</t>
  </si>
  <si>
    <t>PRE-GRE-REAL-DIESEL MARINO EXTRA B2B BUENAVENTURA - CABOJE - Z00005 ZMRC - LIS_GRE_REGULADOS MME 2016</t>
  </si>
  <si>
    <t>PRE-GRE-REAL-DIESEL MARINO EXTRA B2B BUENAVENTURA - CABOJE - Z00005 ZPRB - LIS_GRE_REGULADOS MME 2016</t>
  </si>
  <si>
    <t>PRE-GRE-REAL-DIESEL MARINO EXTRA B2B BUENAVENTURA - CABOJE - Z00005 ZPRA - LIS_GRE_REGULADOS MME 2016</t>
  </si>
  <si>
    <t>OK OK</t>
  </si>
  <si>
    <t>OKOK</t>
  </si>
  <si>
    <t>3) Se comparan resultados con el cuadro siguiente:</t>
  </si>
  <si>
    <t xml:space="preserve">Archivo: Publicación </t>
  </si>
  <si>
    <t>(3) Es el valor que se obtiene conforme se establece en el Artículo 467 del Estatuto Tributario, modificado por el Artículo 183 de la Ley 1819 del 29 de diciembre de 2016 y el artículo 74 de la Ley 1955 del 25 de mayo de 2019, o las normas que lo modifiquen o sustituyan, considerando que dentro de los bienes gravados con la tarifa del 5% prevista en el articulo 468-1 del Estatuto Tributario, se incluyo el ingreso al productor en la venta de gasolina y ACPM; y a lo establecido en el decreto 575 del 15 de abril de 2020. El valor final se obtiene aplicando dicha tarifa sobre el IP fósil considerando el nivel de mezcla con biocombustible respectivo, si hay lugar.</t>
  </si>
  <si>
    <t>01 DE JUNIO DE 2020</t>
  </si>
  <si>
    <t xml:space="preserve">(4) Precio sujeto a variación, a la fecha se encuentra en verificación de aspectos tributarios concernientes a la importación en virtud a lo establecido en el decreto 575 del 15 de abril de 2020. Se encuentra en verificación el IVA aplicable para importación del Avgas conforme al Concepto DIAN 100208221-624 de la Subdirección de Gestión Normativa y Doctrina.
 </t>
  </si>
  <si>
    <t>(3*)Es el valor que se obtiene conforme se establece en el Artículo 467 del Estatuto Tributario, modificado por el Artículo 183 de la Ley 1819 del 29 de diciembre de 2016 y el artículo 74 de la Ley 1955 del 25 de mayo de 2019, o las normas que lo modifiquen o sustituyan, considerando que dentro de los bienes gravados con la tarifa del 5% prevista en el articulo 468-1 del Estatuto Tributario, se incluyo el ingreso al productor en la venta de gasolina y ACPM; y a lo establecido en el decreto 575 del 15 de abril de 2020. El valor final se obtiene aplicando dicha tarifa sobre el IP fósil considerando el nivel de mezcla con biocombustible respectivo, si hay lugar. Aplicación de IVA de acuerdo a Concepto DIAN 100208221-624 de la Subdirección de Gestión Normativa y Doctrina.</t>
  </si>
  <si>
    <t>AVGAS</t>
  </si>
  <si>
    <t>Diesel 
(ACPM-ACEM)</t>
  </si>
  <si>
    <t xml:space="preserve">(d) Importado 1:  El precio publicado, corresponde al precio de venta para clientes de ECOPETROL con contrato hasta el 105% de lo asignado. </t>
  </si>
  <si>
    <t>(e) Importado 2: El precio publicado, corresponde al precio de venta para clientes de ECOPETROL con contrato por encima del 105% de lo asignado</t>
  </si>
  <si>
    <r>
      <t xml:space="preserve">Nacional 1 </t>
    </r>
    <r>
      <rPr>
        <b/>
        <vertAlign val="superscript"/>
        <sz val="11"/>
        <color theme="0"/>
        <rFont val="Arial"/>
        <family val="2"/>
      </rPr>
      <t>(b)</t>
    </r>
  </si>
  <si>
    <r>
      <t xml:space="preserve">Nacional 2 </t>
    </r>
    <r>
      <rPr>
        <b/>
        <vertAlign val="superscript"/>
        <sz val="11"/>
        <color theme="0"/>
        <rFont val="Arial"/>
        <family val="2"/>
      </rPr>
      <t>(c)</t>
    </r>
  </si>
  <si>
    <t>(***)  Se calcularán y ajustaran a lo señalado en el Articulo 2° de la Resolución 18 1549 del 29 de noviembre de 2004, en el Articulo 1° de la Resolución 18 0769 del 29 de mayo de 2007, en la Resolución 18 1837 del 4 de noviembre de 2011 y en el articulo 1° y 3° de la Resolución 18 2336 del 28 de diciembre de 2011, Resolución número 18 1254 del 30 de julio de 2012. Aplica lo dispuesto en la Resolución 40191 de 09 de julio de 2020.</t>
  </si>
  <si>
    <t>(c) Nacional 2: corresponde al Ingreso al Productor AVGAS de venta para clientes de ECOPETROL con contrato por encima del 105% de lo asignado.</t>
  </si>
  <si>
    <t xml:space="preserve">(b) Nacional 1: corresponde al Ingreso al Productor AVGAS para clientes de ECOPETROL con contrato hasta el 105% de lo asignado. </t>
  </si>
  <si>
    <t>01 DE SEPTIEMBRE 2020</t>
  </si>
  <si>
    <r>
      <t>Importado 1</t>
    </r>
    <r>
      <rPr>
        <b/>
        <vertAlign val="superscript"/>
        <sz val="8.8000000000000007"/>
        <color rgb="FFFF0000"/>
        <rFont val="Arial"/>
        <family val="2"/>
      </rPr>
      <t xml:space="preserve"> </t>
    </r>
    <r>
      <rPr>
        <b/>
        <vertAlign val="superscript"/>
        <sz val="11"/>
        <color rgb="FFFF0000"/>
        <rFont val="Arial"/>
        <family val="2"/>
      </rPr>
      <t>(d)</t>
    </r>
  </si>
  <si>
    <r>
      <t>Importado</t>
    </r>
    <r>
      <rPr>
        <b/>
        <sz val="8"/>
        <color rgb="FFFF0000"/>
        <rFont val="Arial"/>
        <family val="2"/>
      </rPr>
      <t xml:space="preserve"> 2</t>
    </r>
    <r>
      <rPr>
        <b/>
        <sz val="11"/>
        <color rgb="FFFF0000"/>
        <rFont val="Arial"/>
        <family val="2"/>
      </rPr>
      <t xml:space="preserve"> </t>
    </r>
    <r>
      <rPr>
        <b/>
        <vertAlign val="superscript"/>
        <sz val="11"/>
        <color rgb="FFFF0000"/>
        <rFont val="Arial"/>
        <family val="2"/>
      </rPr>
      <t>(e)</t>
    </r>
  </si>
  <si>
    <t>OK VERIFICADO</t>
  </si>
  <si>
    <t>15 DE SEPTIEMBRE 2020</t>
  </si>
  <si>
    <t>PARA HACER EL CHEQUEO, TOMAR EL PRECIO DEL DIESEL * 98% Y LUEGO POR EL 77%</t>
  </si>
  <si>
    <t>CHECK</t>
  </si>
  <si>
    <t>En el sistema cargamos es un descuento</t>
  </si>
  <si>
    <t>OCULTARLO SE CALCULA LAS PROXIMA SEMANA MAS O MENOS EL 5</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</si>
</sst>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8" formatCode="&quot;$&quot;\ #,##0.00;[Red]\-&quot;$&quot;\ #,##0.00"/>
    <numFmt numFmtId="42" formatCode="_-&quot;$&quot;\ * #,##0_-;\-&quot;$&quot;\ * #,##0_-;_-&quot;$&quot;\ * &quot;-&quot;_-;_-@_-"/>
    <numFmt numFmtId="41" formatCode="_-* #,##0_-;\-* #,##0_-;_-* &quot;-&quot;_-;_-@_-"/>
    <numFmt numFmtId="43" formatCode="_-* #,##0.00_-;\-* #,##0.00_-;_-* &quot;-&quot;??_-;_-@_-"/>
    <numFmt numFmtId="164" formatCode="_(* #,##0.00_);_(* \(#,##0.00\);_(* &quot;-&quot;??_);_(@_)"/>
    <numFmt numFmtId="165" formatCode="#,##0.0000"/>
    <numFmt numFmtId="166" formatCode="General_)"/>
    <numFmt numFmtId="167" formatCode="_-* #,##0.0000_-;\-* #,##0.0000_-;_-* &quot;-&quot;??_-;_-@_-"/>
    <numFmt numFmtId="168" formatCode=";;;"/>
    <numFmt numFmtId="169" formatCode="#,##0.00000000"/>
    <numFmt numFmtId="170" formatCode="#,##0.00000000000"/>
    <numFmt numFmtId="171" formatCode="#,##0.00\ &quot;(*****)&quot;"/>
    <numFmt numFmtId="172" formatCode="_-* #,##0.0_-;\-* #,##0.0_-;_-* &quot;-&quot;??_-;_-@_-"/>
    <numFmt numFmtId="173" formatCode="_(* #,##0.00000_);_(* \(#,##0.00000\);_(* &quot;-&quot;??_);_(@_)"/>
    <numFmt numFmtId="174" formatCode="0.0000"/>
    <numFmt numFmtId="175" formatCode="_-* #,##0.000_-;\-* #,##0.000_-;_-* &quot;-&quot;??_-;_-@_-"/>
    <numFmt numFmtId="176" formatCode="_-* #,##0.00_-;\-* #,##0.00_-;_-* &quot;-&quot;???_-;_-@_-"/>
    <numFmt numFmtId="177" formatCode="0.000%"/>
    <numFmt numFmtId="178" formatCode="_-&quot;$&quot;\ * #,##0.00_-;\-&quot;$&quot;\ * #,##0.00_-;_-&quot;$&quot;\ * &quot;-&quot;_-;_-@_-"/>
  </numFmts>
  <fonts count="10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BERNHARD"/>
    </font>
    <font>
      <sz val="10"/>
      <name val="Helv"/>
    </font>
    <font>
      <sz val="1"/>
      <color indexed="8"/>
      <name val="Courier"/>
      <family val="3"/>
    </font>
    <font>
      <b/>
      <sz val="1"/>
      <color indexed="8"/>
      <name val="Courier"/>
      <family val="3"/>
    </font>
    <font>
      <sz val="7"/>
      <name val="Small Fonts"/>
      <family val="2"/>
    </font>
    <font>
      <sz val="8"/>
      <name val="Helv"/>
    </font>
    <font>
      <b/>
      <sz val="8"/>
      <name val="Times New Roman"/>
      <family val="1"/>
    </font>
    <font>
      <sz val="12"/>
      <name val="Arial"/>
      <family val="2"/>
    </font>
    <font>
      <sz val="8"/>
      <name val="Arial"/>
      <family val="2"/>
    </font>
    <font>
      <sz val="10"/>
      <name val="Courier"/>
      <family val="3"/>
    </font>
    <font>
      <sz val="11"/>
      <name val="Arial"/>
      <family val="2"/>
    </font>
    <font>
      <b/>
      <sz val="11"/>
      <name val="Arial"/>
      <family val="2"/>
    </font>
    <font>
      <b/>
      <sz val="11"/>
      <color indexed="10"/>
      <name val="Arial"/>
      <family val="2"/>
    </font>
    <font>
      <sz val="8"/>
      <color indexed="81"/>
      <name val="Tahoma"/>
      <family val="2"/>
    </font>
    <font>
      <b/>
      <sz val="8"/>
      <color indexed="81"/>
      <name val="Tahoma"/>
      <family val="2"/>
    </font>
    <font>
      <sz val="11"/>
      <color indexed="10"/>
      <name val="Arial"/>
      <family val="2"/>
    </font>
    <font>
      <b/>
      <sz val="11"/>
      <color indexed="81"/>
      <name val="Tahoma"/>
      <family val="2"/>
    </font>
    <font>
      <sz val="11"/>
      <color indexed="81"/>
      <name val="Tahoma"/>
      <family val="2"/>
    </font>
    <font>
      <sz val="11"/>
      <color indexed="9"/>
      <name val="Arial"/>
      <family val="2"/>
    </font>
    <font>
      <b/>
      <sz val="11"/>
      <color indexed="12"/>
      <name val="Arial"/>
      <family val="2"/>
    </font>
    <font>
      <sz val="12"/>
      <name val="Arial MT"/>
    </font>
    <font>
      <b/>
      <sz val="11"/>
      <color indexed="9"/>
      <name val="Arial Black"/>
      <family val="2"/>
    </font>
    <font>
      <sz val="16"/>
      <name val="Arial"/>
      <family val="2"/>
    </font>
    <font>
      <sz val="9"/>
      <name val="Arial"/>
      <family val="2"/>
    </font>
    <font>
      <b/>
      <sz val="9"/>
      <color indexed="9"/>
      <name val="Arial"/>
      <family val="2"/>
    </font>
    <font>
      <b/>
      <sz val="10"/>
      <name val="Arial"/>
      <family val="2"/>
    </font>
    <font>
      <b/>
      <sz val="10"/>
      <color indexed="9"/>
      <name val="Arial"/>
      <family val="2"/>
    </font>
    <font>
      <b/>
      <sz val="8"/>
      <color indexed="9"/>
      <name val="Arial"/>
      <family val="2"/>
    </font>
    <font>
      <b/>
      <sz val="7"/>
      <name val="Arial"/>
      <family val="2"/>
    </font>
    <font>
      <b/>
      <sz val="8"/>
      <name val="Arial"/>
      <family val="2"/>
    </font>
    <font>
      <sz val="6"/>
      <name val="Arial"/>
      <family val="2"/>
    </font>
    <font>
      <sz val="11"/>
      <color theme="0" tint="-0.499984740745262"/>
      <name val="Arial"/>
      <family val="2"/>
    </font>
    <font>
      <b/>
      <sz val="11"/>
      <color theme="0"/>
      <name val="Arial"/>
      <family val="2"/>
    </font>
    <font>
      <sz val="11"/>
      <color theme="0"/>
      <name val="Arial"/>
      <family val="2"/>
    </font>
    <font>
      <b/>
      <sz val="11"/>
      <color theme="0" tint="-0.499984740745262"/>
      <name val="Arial"/>
      <family val="2"/>
    </font>
    <font>
      <b/>
      <sz val="11"/>
      <color theme="6" tint="-0.499984740745262"/>
      <name val="Arial"/>
      <family val="2"/>
    </font>
    <font>
      <sz val="11"/>
      <color rgb="FFFF0000"/>
      <name val="Arial"/>
      <family val="2"/>
    </font>
    <font>
      <sz val="14"/>
      <color theme="0"/>
      <name val="Arial"/>
      <family val="2"/>
    </font>
    <font>
      <b/>
      <sz val="9"/>
      <color theme="0"/>
      <name val="Arial"/>
      <family val="2"/>
    </font>
    <font>
      <sz val="10"/>
      <color theme="0" tint="-0.499984740745262"/>
      <name val="Arial"/>
      <family val="2"/>
    </font>
    <font>
      <b/>
      <sz val="10"/>
      <color theme="0"/>
      <name val="Arial"/>
      <family val="2"/>
    </font>
    <font>
      <b/>
      <sz val="8"/>
      <color theme="0"/>
      <name val="Arial"/>
      <family val="2"/>
    </font>
    <font>
      <sz val="9"/>
      <color theme="0"/>
      <name val="Arial"/>
      <family val="2"/>
    </font>
    <font>
      <sz val="8"/>
      <color theme="0"/>
      <name val="Arial"/>
      <family val="2"/>
    </font>
    <font>
      <sz val="9"/>
      <color rgb="FF000000"/>
      <name val="Tahoma"/>
      <family val="2"/>
    </font>
    <font>
      <sz val="11"/>
      <color theme="0" tint="-0.34998626667073579"/>
      <name val="Arial"/>
      <family val="2"/>
    </font>
    <font>
      <sz val="13"/>
      <color theme="0"/>
      <name val="Arial"/>
      <family val="2"/>
    </font>
    <font>
      <b/>
      <sz val="14"/>
      <color theme="6" tint="-0.499984740745262"/>
      <name val="Arial"/>
      <family val="2"/>
    </font>
    <font>
      <sz val="7"/>
      <color rgb="FF595959"/>
      <name val="Arial"/>
      <family val="2"/>
    </font>
    <font>
      <b/>
      <sz val="7.5"/>
      <color rgb="FF003471"/>
      <name val="Arial"/>
      <family val="2"/>
    </font>
    <font>
      <b/>
      <vertAlign val="superscript"/>
      <sz val="11"/>
      <name val="Arial"/>
      <family val="2"/>
    </font>
    <font>
      <vertAlign val="superscript"/>
      <sz val="11"/>
      <name val="Arial"/>
      <family val="2"/>
    </font>
    <font>
      <sz val="12"/>
      <color theme="0"/>
      <name val="Arial"/>
      <family val="2"/>
    </font>
    <font>
      <b/>
      <sz val="10"/>
      <name val="Arial Black"/>
      <family val="2"/>
    </font>
    <font>
      <b/>
      <sz val="9"/>
      <name val="Arial"/>
      <family val="2"/>
    </font>
    <font>
      <b/>
      <sz val="9"/>
      <color indexed="81"/>
      <name val="Tahoma"/>
      <family val="2"/>
    </font>
    <font>
      <sz val="9"/>
      <color indexed="81"/>
      <name val="Tahoma"/>
      <family val="2"/>
    </font>
    <font>
      <i/>
      <sz val="11"/>
      <color theme="5"/>
      <name val="Arial"/>
      <family val="2"/>
    </font>
    <font>
      <b/>
      <i/>
      <sz val="11"/>
      <name val="Arial"/>
      <family val="2"/>
    </font>
    <font>
      <i/>
      <sz val="11"/>
      <name val="Arial"/>
      <family val="2"/>
    </font>
    <font>
      <sz val="11"/>
      <color theme="3" tint="-0.249977111117893"/>
      <name val="Arial"/>
      <family val="2"/>
    </font>
    <font>
      <sz val="10"/>
      <color theme="0"/>
      <name val="Arial"/>
      <family val="2"/>
    </font>
    <font>
      <b/>
      <sz val="10"/>
      <color rgb="FFFF0000"/>
      <name val="Calibri"/>
      <family val="2"/>
      <scheme val="minor"/>
    </font>
    <font>
      <b/>
      <sz val="10"/>
      <color indexed="10"/>
      <name val="Calibri"/>
      <family val="2"/>
    </font>
    <font>
      <b/>
      <sz val="16"/>
      <color theme="1"/>
      <name val="Arial"/>
      <family val="2"/>
    </font>
    <font>
      <b/>
      <sz val="28"/>
      <color theme="1"/>
      <name val="Calibri"/>
      <family val="2"/>
      <scheme val="minor"/>
    </font>
    <font>
      <b/>
      <sz val="14"/>
      <color theme="1"/>
      <name val="Calibri"/>
      <family val="2"/>
    </font>
    <font>
      <b/>
      <sz val="16"/>
      <color theme="1"/>
      <name val="Calibri"/>
      <family val="2"/>
    </font>
    <font>
      <b/>
      <sz val="16"/>
      <name val="Calibri"/>
      <family val="2"/>
      <scheme val="minor"/>
    </font>
    <font>
      <b/>
      <sz val="16"/>
      <color theme="1"/>
      <name val="Calibri"/>
      <family val="2"/>
      <scheme val="minor"/>
    </font>
    <font>
      <sz val="11"/>
      <color rgb="FF000000"/>
      <name val="Calibri"/>
      <family val="2"/>
      <scheme val="minor"/>
    </font>
    <font>
      <b/>
      <sz val="11"/>
      <color theme="1"/>
      <name val="Calibri"/>
      <family val="2"/>
      <scheme val="minor"/>
    </font>
    <font>
      <sz val="11"/>
      <color theme="1"/>
      <name val="Calibri"/>
      <family val="2"/>
    </font>
    <font>
      <sz val="11"/>
      <name val="Calibri"/>
      <family val="2"/>
      <scheme val="minor"/>
    </font>
    <font>
      <b/>
      <sz val="18"/>
      <color theme="1"/>
      <name val="Calibri"/>
      <family val="2"/>
      <scheme val="minor"/>
    </font>
    <font>
      <sz val="11"/>
      <color rgb="FFFF0000"/>
      <name val="Calibri"/>
      <family val="2"/>
      <scheme val="minor"/>
    </font>
    <font>
      <sz val="8.8000000000000007"/>
      <color theme="1"/>
      <name val="Calibri"/>
      <family val="2"/>
    </font>
    <font>
      <sz val="11"/>
      <color theme="3"/>
      <name val="Arial"/>
      <family val="2"/>
    </font>
    <font>
      <sz val="11"/>
      <color rgb="FF0070C0"/>
      <name val="Calibri"/>
      <family val="2"/>
      <scheme val="minor"/>
    </font>
    <font>
      <sz val="10"/>
      <name val="Arial"/>
      <family val="2"/>
    </font>
    <font>
      <sz val="10"/>
      <color rgb="FFFF0000"/>
      <name val="Arial"/>
      <family val="2"/>
    </font>
    <font>
      <b/>
      <sz val="11"/>
      <color theme="1"/>
      <name val="Arial"/>
      <family val="2"/>
    </font>
    <font>
      <b/>
      <sz val="11"/>
      <color theme="8" tint="0.39997558519241921"/>
      <name val="Arial"/>
      <family val="2"/>
    </font>
    <font>
      <sz val="9"/>
      <name val="Tahoma"/>
      <family val="2"/>
    </font>
    <font>
      <b/>
      <sz val="11"/>
      <color theme="3" tint="0.59999389629810485"/>
      <name val="Arial"/>
      <family val="2"/>
    </font>
    <font>
      <sz val="10"/>
      <name val="Arial"/>
      <family val="2"/>
    </font>
    <font>
      <i/>
      <sz val="12"/>
      <name val="Arial"/>
      <family val="2"/>
    </font>
    <font>
      <sz val="11"/>
      <color theme="5" tint="0.39997558519241921"/>
      <name val="Arial"/>
      <family val="2"/>
    </font>
    <font>
      <b/>
      <vertAlign val="superscript"/>
      <sz val="11"/>
      <color theme="0"/>
      <name val="Arial"/>
      <family val="2"/>
    </font>
    <font>
      <b/>
      <sz val="11"/>
      <color rgb="FFFF0000"/>
      <name val="Arial"/>
      <family val="2"/>
    </font>
    <font>
      <b/>
      <vertAlign val="superscript"/>
      <sz val="8.8000000000000007"/>
      <color rgb="FFFF0000"/>
      <name val="Arial"/>
      <family val="2"/>
    </font>
    <font>
      <b/>
      <vertAlign val="superscript"/>
      <sz val="11"/>
      <color rgb="FFFF0000"/>
      <name val="Arial"/>
      <family val="2"/>
    </font>
    <font>
      <b/>
      <sz val="8"/>
      <color rgb="FFFF0000"/>
      <name val="Arial"/>
      <family val="2"/>
    </font>
    <font>
      <sz val="8"/>
      <color rgb="FFFF0000"/>
      <name val="Arial"/>
      <family val="2"/>
    </font>
  </fonts>
  <fills count="3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17"/>
        <bgColor indexed="64"/>
      </patternFill>
    </fill>
    <fill>
      <patternFill patternType="solid">
        <fgColor indexed="13"/>
        <bgColor indexed="64"/>
      </patternFill>
    </fill>
    <fill>
      <patternFill patternType="solid">
        <fgColor indexed="40"/>
        <bgColor indexed="64"/>
      </patternFill>
    </fill>
    <fill>
      <patternFill patternType="solid">
        <fgColor indexed="8"/>
        <bgColor indexed="64"/>
      </patternFill>
    </fill>
    <fill>
      <patternFill patternType="solid">
        <fgColor indexed="23"/>
        <bgColor indexed="64"/>
      </patternFill>
    </fill>
    <fill>
      <patternFill patternType="lightTrellis">
        <fgColor indexed="9"/>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008000"/>
        <bgColor indexed="64"/>
      </patternFill>
    </fill>
    <fill>
      <patternFill patternType="solid">
        <fgColor theme="6" tint="-0.249977111117893"/>
        <bgColor indexed="64"/>
      </patternFill>
    </fill>
    <fill>
      <patternFill patternType="solid">
        <fgColor rgb="FF99CC00"/>
        <bgColor indexed="64"/>
      </patternFill>
    </fill>
    <fill>
      <patternFill patternType="solid">
        <fgColor rgb="FFC00000"/>
        <bgColor indexed="64"/>
      </patternFill>
    </fill>
    <fill>
      <patternFill patternType="solid">
        <fgColor theme="5" tint="0.39997558519241921"/>
        <bgColor indexed="64"/>
      </patternFill>
    </fill>
    <fill>
      <patternFill patternType="solid">
        <fgColor theme="6"/>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00B0F0"/>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rgb="FF00FF00"/>
        <bgColor indexed="64"/>
      </patternFill>
    </fill>
  </fills>
  <borders count="119">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style="thick">
        <color indexed="64"/>
      </left>
      <right style="thick">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style="thick">
        <color indexed="64"/>
      </left>
      <right style="thick">
        <color indexed="64"/>
      </right>
      <top/>
      <bottom style="thick">
        <color indexed="64"/>
      </bottom>
      <diagonal/>
    </border>
    <border>
      <left/>
      <right/>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bottom style="thick">
        <color indexed="64"/>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uble">
        <color theme="0" tint="-0.24994659260841701"/>
      </left>
      <right style="dotted">
        <color theme="0" tint="-0.24994659260841701"/>
      </right>
      <top style="dotted">
        <color theme="0" tint="-0.24994659260841701"/>
      </top>
      <bottom style="dotted">
        <color theme="0" tint="-0.24994659260841701"/>
      </bottom>
      <diagonal/>
    </border>
    <border>
      <left style="double">
        <color theme="0" tint="-0.34998626667073579"/>
      </left>
      <right style="dotted">
        <color theme="0" tint="-0.24994659260841701"/>
      </right>
      <top style="dotted">
        <color theme="0" tint="-0.24994659260841701"/>
      </top>
      <bottom style="dotted">
        <color theme="0" tint="-0.24994659260841701"/>
      </bottom>
      <diagonal/>
    </border>
    <border>
      <left style="double">
        <color theme="0" tint="-0.24994659260841701"/>
      </left>
      <right style="dotted">
        <color theme="0" tint="-0.24994659260841701"/>
      </right>
      <top style="dotted">
        <color theme="0" tint="-0.24994659260841701"/>
      </top>
      <bottom style="double">
        <color theme="0" tint="-0.24994659260841701"/>
      </bottom>
      <diagonal/>
    </border>
    <border>
      <left style="dotted">
        <color theme="0" tint="-0.24994659260841701"/>
      </left>
      <right style="dotted">
        <color theme="0" tint="-0.24994659260841701"/>
      </right>
      <top style="dotted">
        <color theme="0" tint="-0.24994659260841701"/>
      </top>
      <bottom style="double">
        <color theme="0" tint="-0.24994659260841701"/>
      </bottom>
      <diagonal/>
    </border>
    <border>
      <left style="dotted">
        <color theme="0" tint="-0.24994659260841701"/>
      </left>
      <right style="double">
        <color theme="0" tint="-0.24994659260841701"/>
      </right>
      <top style="dotted">
        <color theme="0" tint="-0.24994659260841701"/>
      </top>
      <bottom style="dotted">
        <color theme="0" tint="-0.24994659260841701"/>
      </bottom>
      <diagonal/>
    </border>
    <border>
      <left style="dotted">
        <color theme="0" tint="-0.24994659260841701"/>
      </left>
      <right style="double">
        <color theme="0" tint="-0.24994659260841701"/>
      </right>
      <top style="dotted">
        <color theme="0" tint="-0.24994659260841701"/>
      </top>
      <bottom style="double">
        <color theme="0" tint="-0.24994659260841701"/>
      </bottom>
      <diagonal/>
    </border>
    <border>
      <left style="double">
        <color theme="0" tint="-0.24994659260841701"/>
      </left>
      <right style="dotted">
        <color theme="0" tint="-0.24994659260841701"/>
      </right>
      <top style="double">
        <color theme="0" tint="-0.24994659260841701"/>
      </top>
      <bottom style="dotted">
        <color theme="0" tint="-0.24994659260841701"/>
      </bottom>
      <diagonal/>
    </border>
    <border>
      <left style="dotted">
        <color theme="0" tint="-0.24994659260841701"/>
      </left>
      <right style="dotted">
        <color theme="0" tint="-0.24994659260841701"/>
      </right>
      <top style="double">
        <color theme="0" tint="-0.24994659260841701"/>
      </top>
      <bottom style="dotted">
        <color theme="0" tint="-0.24994659260841701"/>
      </bottom>
      <diagonal/>
    </border>
    <border>
      <left style="dotted">
        <color theme="0" tint="-0.24994659260841701"/>
      </left>
      <right style="double">
        <color theme="0" tint="-0.24994659260841701"/>
      </right>
      <top style="double">
        <color theme="0" tint="-0.24994659260841701"/>
      </top>
      <bottom style="dotted">
        <color theme="0" tint="-0.24994659260841701"/>
      </bottom>
      <diagonal/>
    </border>
    <border>
      <left style="dotted">
        <color rgb="FF92D050"/>
      </left>
      <right style="dotted">
        <color rgb="FF92D050"/>
      </right>
      <top style="dotted">
        <color rgb="FF92D050"/>
      </top>
      <bottom style="dotted">
        <color rgb="FF92D050"/>
      </bottom>
      <diagonal/>
    </border>
    <border>
      <left style="double">
        <color rgb="FF92D050"/>
      </left>
      <right style="dotted">
        <color rgb="FF92D050"/>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tted">
        <color rgb="FF92D050"/>
      </bottom>
      <diagonal/>
    </border>
    <border>
      <left style="double">
        <color rgb="FF92D050"/>
      </left>
      <right style="dotted">
        <color rgb="FF92D050"/>
      </right>
      <top/>
      <bottom style="dotted">
        <color rgb="FF92D050"/>
      </bottom>
      <diagonal/>
    </border>
    <border>
      <left style="dotted">
        <color rgb="FF92D050"/>
      </left>
      <right style="double">
        <color rgb="FF92D050"/>
      </right>
      <top style="dotted">
        <color rgb="FF92D050"/>
      </top>
      <bottom style="double">
        <color rgb="FF92D050"/>
      </bottom>
      <diagonal/>
    </border>
    <border>
      <left style="dotted">
        <color rgb="FF92D050"/>
      </left>
      <right style="double">
        <color rgb="FF92D050"/>
      </right>
      <top/>
      <bottom style="dotted">
        <color rgb="FF92D050"/>
      </bottom>
      <diagonal/>
    </border>
    <border>
      <left style="dashed">
        <color rgb="FF92D050"/>
      </left>
      <right style="dashed">
        <color rgb="FF92D050"/>
      </right>
      <top style="dashed">
        <color rgb="FF92D050"/>
      </top>
      <bottom style="dashed">
        <color rgb="FF92D050"/>
      </bottom>
      <diagonal/>
    </border>
    <border>
      <left style="double">
        <color rgb="FF92D050"/>
      </left>
      <right style="dashed">
        <color rgb="FF92D050"/>
      </right>
      <top style="dashed">
        <color rgb="FF92D050"/>
      </top>
      <bottom style="double">
        <color rgb="FF92D050"/>
      </bottom>
      <diagonal/>
    </border>
    <border>
      <left style="dashed">
        <color rgb="FF92D050"/>
      </left>
      <right style="dashed">
        <color rgb="FF92D050"/>
      </right>
      <top style="dashed">
        <color rgb="FF92D050"/>
      </top>
      <bottom style="double">
        <color rgb="FF92D050"/>
      </bottom>
      <diagonal/>
    </border>
    <border>
      <left style="dotted">
        <color rgb="FF92D050"/>
      </left>
      <right style="dotted">
        <color rgb="FF92D050"/>
      </right>
      <top/>
      <bottom style="dotted">
        <color rgb="FF92D050"/>
      </bottom>
      <diagonal/>
    </border>
    <border>
      <left style="double">
        <color rgb="FF92D050"/>
      </left>
      <right style="dotted">
        <color rgb="FF92D050"/>
      </right>
      <top style="double">
        <color rgb="FF92D050"/>
      </top>
      <bottom style="dotted">
        <color rgb="FF92D050"/>
      </bottom>
      <diagonal/>
    </border>
    <border>
      <left style="dotted">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style="double">
        <color rgb="FF92D050"/>
      </left>
      <right style="dashed">
        <color rgb="FF92D050"/>
      </right>
      <top/>
      <bottom style="dashed">
        <color rgb="FF92D050"/>
      </bottom>
      <diagonal/>
    </border>
    <border>
      <left style="dashed">
        <color rgb="FF92D050"/>
      </left>
      <right style="dashed">
        <color rgb="FF92D050"/>
      </right>
      <top/>
      <bottom style="dashed">
        <color rgb="FF92D050"/>
      </bottom>
      <diagonal/>
    </border>
    <border>
      <left style="double">
        <color rgb="FF92D050"/>
      </left>
      <right style="dashed">
        <color rgb="FF92D050"/>
      </right>
      <top style="dashed">
        <color rgb="FF92D050"/>
      </top>
      <bottom style="dashed">
        <color rgb="FF92D050"/>
      </bottom>
      <diagonal/>
    </border>
    <border>
      <left style="double">
        <color rgb="FF92D050"/>
      </left>
      <right/>
      <top style="double">
        <color rgb="FF92D050"/>
      </top>
      <bottom/>
      <diagonal/>
    </border>
    <border>
      <left/>
      <right/>
      <top style="double">
        <color rgb="FF92D050"/>
      </top>
      <bottom/>
      <diagonal/>
    </border>
    <border>
      <left/>
      <right style="double">
        <color rgb="FF92D050"/>
      </right>
      <top style="double">
        <color rgb="FF92D050"/>
      </top>
      <bottom/>
      <diagonal/>
    </border>
    <border>
      <left style="double">
        <color rgb="FF92D050"/>
      </left>
      <right/>
      <top/>
      <bottom/>
      <diagonal/>
    </border>
    <border>
      <left/>
      <right style="double">
        <color rgb="FF92D050"/>
      </right>
      <top/>
      <bottom/>
      <diagonal/>
    </border>
    <border>
      <left/>
      <right style="dotted">
        <color rgb="FF92D050"/>
      </right>
      <top style="dotted">
        <color rgb="FF92D050"/>
      </top>
      <bottom style="dotted">
        <color rgb="FF92D050"/>
      </bottom>
      <diagonal/>
    </border>
    <border>
      <left/>
      <right style="dotted">
        <color rgb="FF92D050"/>
      </right>
      <top style="dotted">
        <color rgb="FF92D050"/>
      </top>
      <bottom style="double">
        <color rgb="FF92D050"/>
      </bottom>
      <diagonal/>
    </border>
    <border>
      <left/>
      <right style="dotted">
        <color rgb="FF92D050"/>
      </right>
      <top/>
      <bottom style="double">
        <color rgb="FF92D050"/>
      </bottom>
      <diagonal/>
    </border>
    <border>
      <left style="dotted">
        <color rgb="FF92D050"/>
      </left>
      <right style="dotted">
        <color rgb="FF92D050"/>
      </right>
      <top/>
      <bottom/>
      <diagonal/>
    </border>
    <border>
      <left style="dotted">
        <color rgb="FF92D050"/>
      </left>
      <right/>
      <top/>
      <bottom style="dotted">
        <color rgb="FF92D050"/>
      </bottom>
      <diagonal/>
    </border>
    <border>
      <left/>
      <right style="dotted">
        <color rgb="FF92D050"/>
      </right>
      <top/>
      <bottom style="dotted">
        <color rgb="FF92D050"/>
      </bottom>
      <diagonal/>
    </border>
    <border>
      <left style="double">
        <color rgb="FF92D050"/>
      </left>
      <right style="dotted">
        <color rgb="FF92D050"/>
      </right>
      <top/>
      <bottom/>
      <diagonal/>
    </border>
    <border>
      <left style="double">
        <color rgb="FF92D050"/>
      </left>
      <right style="dotted">
        <color rgb="FF92D050"/>
      </right>
      <top/>
      <bottom style="double">
        <color rgb="FF92D050"/>
      </bottom>
      <diagonal/>
    </border>
    <border>
      <left style="dotted">
        <color rgb="FF92D050"/>
      </left>
      <right style="dotted">
        <color rgb="FF92D050"/>
      </right>
      <top style="dotted">
        <color rgb="FF92D050"/>
      </top>
      <bottom/>
      <diagonal/>
    </border>
    <border>
      <left style="double">
        <color rgb="FF92D050"/>
      </left>
      <right style="dotted">
        <color rgb="FF92D050"/>
      </right>
      <top style="dotted">
        <color rgb="FF92D050"/>
      </top>
      <bottom/>
      <diagonal/>
    </border>
    <border>
      <left style="double">
        <color rgb="FF92D050"/>
      </left>
      <right/>
      <top/>
      <bottom style="dotted">
        <color rgb="FF92D050"/>
      </bottom>
      <diagonal/>
    </border>
    <border>
      <left/>
      <right/>
      <top/>
      <bottom style="dotted">
        <color rgb="FF92D050"/>
      </bottom>
      <diagonal/>
    </border>
    <border>
      <left/>
      <right style="double">
        <color rgb="FF92D050"/>
      </right>
      <top/>
      <bottom style="dotted">
        <color rgb="FF92D050"/>
      </bottom>
      <diagonal/>
    </border>
    <border>
      <left style="double">
        <color rgb="FF92D050"/>
      </left>
      <right/>
      <top style="double">
        <color rgb="FF92D050"/>
      </top>
      <bottom style="dashed">
        <color rgb="FF92D050"/>
      </bottom>
      <diagonal/>
    </border>
    <border>
      <left/>
      <right/>
      <top style="double">
        <color rgb="FF92D050"/>
      </top>
      <bottom style="dashed">
        <color rgb="FF92D050"/>
      </bottom>
      <diagonal/>
    </border>
    <border>
      <left/>
      <right/>
      <top style="double">
        <color theme="0" tint="-0.24994659260841701"/>
      </top>
      <bottom/>
      <diagonal/>
    </border>
    <border>
      <left style="double">
        <color rgb="FF92D050"/>
      </left>
      <right style="dashed">
        <color rgb="FF92D050"/>
      </right>
      <top style="dashed">
        <color rgb="FF92D050"/>
      </top>
      <bottom/>
      <diagonal/>
    </border>
    <border>
      <left style="double">
        <color rgb="FF92D050"/>
      </left>
      <right style="dashed">
        <color rgb="FF92D050"/>
      </right>
      <top/>
      <bottom/>
      <diagonal/>
    </border>
    <border>
      <left style="double">
        <color rgb="FF92D050"/>
      </left>
      <right style="dashed">
        <color rgb="FF92D050"/>
      </right>
      <top/>
      <bottom style="double">
        <color rgb="FF92D050"/>
      </bottom>
      <diagonal/>
    </border>
    <border>
      <left style="double">
        <color rgb="FF92D050"/>
      </left>
      <right/>
      <top style="dashed">
        <color rgb="FF92D050"/>
      </top>
      <bottom style="dashed">
        <color rgb="FF92D050"/>
      </bottom>
      <diagonal/>
    </border>
    <border>
      <left/>
      <right/>
      <top style="dashed">
        <color rgb="FF92D050"/>
      </top>
      <bottom style="dashed">
        <color rgb="FF92D050"/>
      </bottom>
      <diagonal/>
    </border>
    <border>
      <left style="dashed">
        <color rgb="FF92D050"/>
      </left>
      <right style="dashed">
        <color rgb="FF92D050"/>
      </right>
      <top style="dashed">
        <color rgb="FF92D05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rgb="FF92D050"/>
      </left>
      <right style="double">
        <color rgb="FF92D050"/>
      </right>
      <top style="dotted">
        <color rgb="FF92D050"/>
      </top>
      <bottom/>
      <diagonal/>
    </border>
    <border>
      <left style="dotted">
        <color rgb="FF92D050"/>
      </left>
      <right/>
      <top/>
      <bottom/>
      <diagonal/>
    </border>
    <border>
      <left style="dotted">
        <color rgb="FF92D050"/>
      </left>
      <right/>
      <top style="dotted">
        <color rgb="FF92D050"/>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rgb="FF92D050"/>
      </left>
      <right/>
      <top style="dotted">
        <color rgb="FF92D050"/>
      </top>
      <bottom style="double">
        <color rgb="FF92D050"/>
      </bottom>
      <diagonal/>
    </border>
    <border>
      <left style="dotted">
        <color rgb="FF92D050"/>
      </left>
      <right/>
      <top style="dotted">
        <color rgb="FF92D050"/>
      </top>
      <bottom style="dotted">
        <color rgb="FF92D050"/>
      </bottom>
      <diagonal/>
    </border>
    <border>
      <left style="dashed">
        <color rgb="FF92D050"/>
      </left>
      <right style="double">
        <color rgb="FF92D050"/>
      </right>
      <top style="double">
        <color rgb="FF92D050"/>
      </top>
      <bottom style="dotted">
        <color rgb="FF92D050"/>
      </bottom>
      <diagonal/>
    </border>
    <border>
      <left style="dashed">
        <color rgb="FF92D050"/>
      </left>
      <right style="double">
        <color rgb="FF92D050"/>
      </right>
      <top style="dotted">
        <color rgb="FF92D050"/>
      </top>
      <bottom style="dotted">
        <color rgb="FF92D050"/>
      </bottom>
      <diagonal/>
    </border>
    <border>
      <left style="dashed">
        <color rgb="FF92D050"/>
      </left>
      <right style="double">
        <color rgb="FF92D050"/>
      </right>
      <top style="dotted">
        <color rgb="FF92D050"/>
      </top>
      <bottom style="double">
        <color rgb="FF92D050"/>
      </bottom>
      <diagonal/>
    </border>
    <border>
      <left/>
      <right style="double">
        <color rgb="FF92D050"/>
      </right>
      <top style="dotted">
        <color rgb="FF92D050"/>
      </top>
      <bottom style="dotted">
        <color rgb="FF92D050"/>
      </bottom>
      <diagonal/>
    </border>
    <border>
      <left/>
      <right/>
      <top style="dotted">
        <color rgb="FF92D050"/>
      </top>
      <bottom style="double">
        <color rgb="FF92D050"/>
      </bottom>
      <diagonal/>
    </border>
  </borders>
  <cellStyleXfs count="33">
    <xf numFmtId="0" fontId="0" fillId="0" borderId="0"/>
    <xf numFmtId="0" fontId="14" fillId="0" borderId="0"/>
    <xf numFmtId="0" fontId="15" fillId="0" borderId="0"/>
    <xf numFmtId="0" fontId="14" fillId="0" borderId="0"/>
    <xf numFmtId="0" fontId="15" fillId="0" borderId="0"/>
    <xf numFmtId="0" fontId="16" fillId="0" borderId="0">
      <protection locked="0"/>
    </xf>
    <xf numFmtId="0" fontId="17" fillId="0" borderId="0">
      <protection locked="0"/>
    </xf>
    <xf numFmtId="0" fontId="17"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43" fontId="13" fillId="0" borderId="0" applyFont="0" applyFill="0" applyBorder="0" applyAlignment="0" applyProtection="0"/>
    <xf numFmtId="0" fontId="13" fillId="0" borderId="0" applyFont="0" applyFill="0" applyBorder="0" applyAlignment="0" applyProtection="0"/>
    <xf numFmtId="0" fontId="16" fillId="0" borderId="0">
      <protection locked="0"/>
    </xf>
    <xf numFmtId="37" fontId="18" fillId="0" borderId="0"/>
    <xf numFmtId="0" fontId="13" fillId="0" borderId="0"/>
    <xf numFmtId="0" fontId="13" fillId="0" borderId="0"/>
    <xf numFmtId="0" fontId="34" fillId="0" borderId="0"/>
    <xf numFmtId="166" fontId="23" fillId="0" borderId="0"/>
    <xf numFmtId="9" fontId="13" fillId="0" borderId="0" applyFont="0" applyFill="0" applyBorder="0" applyAlignment="0" applyProtection="0"/>
    <xf numFmtId="9" fontId="13" fillId="0" borderId="0" applyFont="0" applyFill="0" applyBorder="0" applyAlignment="0" applyProtection="0"/>
    <xf numFmtId="166" fontId="20" fillId="0" borderId="0">
      <alignment horizontal="left"/>
    </xf>
    <xf numFmtId="38" fontId="19" fillId="0" borderId="0"/>
    <xf numFmtId="0" fontId="16" fillId="0" borderId="1">
      <protection locked="0"/>
    </xf>
    <xf numFmtId="0" fontId="12" fillId="0" borderId="0"/>
    <xf numFmtId="41" fontId="93" fillId="0" borderId="0" applyFont="0" applyFill="0" applyBorder="0" applyAlignment="0" applyProtection="0"/>
    <xf numFmtId="42" fontId="99" fillId="0" borderId="0" applyFont="0" applyFill="0" applyBorder="0" applyAlignment="0" applyProtection="0"/>
  </cellStyleXfs>
  <cellXfs count="822">
    <xf numFmtId="0" fontId="0" fillId="0" borderId="0" xfId="0"/>
    <xf numFmtId="0" fontId="46" fillId="2" borderId="0" xfId="0" applyFont="1" applyFill="1" applyAlignment="1" applyProtection="1">
      <alignment horizontal="left" vertical="center"/>
      <protection hidden="1"/>
    </xf>
    <xf numFmtId="0" fontId="47" fillId="2" borderId="0" xfId="0" applyFont="1" applyFill="1" applyAlignment="1" applyProtection="1">
      <alignment vertical="center"/>
      <protection hidden="1"/>
    </xf>
    <xf numFmtId="0" fontId="24" fillId="2" borderId="0" xfId="0" applyFont="1" applyFill="1" applyAlignment="1" applyProtection="1">
      <alignment vertical="center"/>
      <protection hidden="1"/>
    </xf>
    <xf numFmtId="164" fontId="24" fillId="2" borderId="0" xfId="0" applyNumberFormat="1" applyFont="1" applyFill="1" applyAlignment="1" applyProtection="1">
      <alignment vertical="center"/>
      <protection hidden="1"/>
    </xf>
    <xf numFmtId="2" fontId="24" fillId="2" borderId="0" xfId="0" applyNumberFormat="1" applyFont="1" applyFill="1" applyAlignment="1" applyProtection="1">
      <alignment vertical="center"/>
      <protection hidden="1"/>
    </xf>
    <xf numFmtId="0" fontId="24" fillId="0" borderId="0" xfId="0" applyFont="1" applyBorder="1" applyAlignment="1" applyProtection="1">
      <alignment vertical="center"/>
      <protection hidden="1"/>
    </xf>
    <xf numFmtId="0" fontId="24" fillId="12" borderId="0" xfId="0" applyFont="1" applyFill="1" applyBorder="1" applyAlignment="1" applyProtection="1">
      <alignment vertical="center"/>
      <protection hidden="1"/>
    </xf>
    <xf numFmtId="0" fontId="25" fillId="2" borderId="0" xfId="0" applyFont="1" applyFill="1" applyAlignment="1" applyProtection="1">
      <alignment vertical="center"/>
      <protection hidden="1"/>
    </xf>
    <xf numFmtId="0" fontId="25" fillId="2" borderId="0" xfId="0" applyFont="1" applyFill="1" applyBorder="1" applyAlignment="1" applyProtection="1">
      <alignment vertical="center"/>
      <protection hidden="1"/>
    </xf>
    <xf numFmtId="0" fontId="32" fillId="0" borderId="0" xfId="0" applyFont="1" applyBorder="1" applyAlignment="1" applyProtection="1">
      <alignment vertical="center"/>
      <protection hidden="1"/>
    </xf>
    <xf numFmtId="0" fontId="32" fillId="0" borderId="0" xfId="0" applyFont="1" applyAlignment="1" applyProtection="1">
      <alignment vertical="center"/>
      <protection hidden="1"/>
    </xf>
    <xf numFmtId="0" fontId="24" fillId="0" borderId="0" xfId="0" applyFont="1" applyAlignment="1" applyProtection="1">
      <alignment vertical="center"/>
      <protection hidden="1"/>
    </xf>
    <xf numFmtId="0" fontId="25" fillId="0" borderId="0" xfId="0" applyFont="1" applyBorder="1" applyAlignment="1" applyProtection="1">
      <alignment horizontal="left" vertical="center" wrapText="1"/>
      <protection hidden="1"/>
    </xf>
    <xf numFmtId="43" fontId="25" fillId="2" borderId="0" xfId="17" applyFont="1" applyFill="1" applyBorder="1" applyAlignment="1" applyProtection="1">
      <alignment vertical="center" wrapText="1"/>
      <protection hidden="1"/>
    </xf>
    <xf numFmtId="0" fontId="24" fillId="12" borderId="0" xfId="0" applyFont="1" applyFill="1" applyAlignment="1" applyProtection="1">
      <alignment vertical="center"/>
      <protection hidden="1"/>
    </xf>
    <xf numFmtId="0" fontId="21" fillId="0" borderId="0" xfId="0" applyFont="1" applyAlignment="1" applyProtection="1">
      <alignment vertical="center"/>
      <protection hidden="1"/>
    </xf>
    <xf numFmtId="0" fontId="45" fillId="0" borderId="0" xfId="0" applyFont="1" applyAlignment="1" applyProtection="1">
      <alignment horizontal="left" vertical="center"/>
      <protection hidden="1"/>
    </xf>
    <xf numFmtId="0" fontId="48" fillId="0" borderId="0" xfId="0" applyFont="1" applyAlignment="1" applyProtection="1">
      <alignment horizontal="center" vertical="center"/>
      <protection hidden="1"/>
    </xf>
    <xf numFmtId="0" fontId="45" fillId="0" borderId="0" xfId="0" applyFont="1" applyAlignment="1" applyProtection="1">
      <alignment vertical="center"/>
      <protection hidden="1"/>
    </xf>
    <xf numFmtId="0" fontId="45" fillId="0" borderId="0" xfId="0" applyFont="1" applyFill="1" applyAlignment="1" applyProtection="1">
      <alignment horizontal="left" vertical="center"/>
      <protection hidden="1"/>
    </xf>
    <xf numFmtId="0" fontId="25" fillId="2" borderId="0" xfId="0" applyFont="1" applyFill="1" applyBorder="1" applyAlignment="1" applyProtection="1">
      <alignment horizontal="left" vertical="center" wrapText="1"/>
      <protection hidden="1"/>
    </xf>
    <xf numFmtId="43" fontId="25" fillId="2" borderId="0" xfId="17" applyNumberFormat="1" applyFont="1" applyFill="1" applyBorder="1" applyAlignment="1" applyProtection="1">
      <alignment vertical="center" wrapText="1"/>
      <protection hidden="1"/>
    </xf>
    <xf numFmtId="43" fontId="25" fillId="2" borderId="0" xfId="17" applyFont="1" applyFill="1" applyBorder="1" applyAlignment="1" applyProtection="1">
      <alignment horizontal="center" vertical="center" wrapText="1"/>
      <protection hidden="1"/>
    </xf>
    <xf numFmtId="0" fontId="49" fillId="0" borderId="0" xfId="0" quotePrefix="1" applyFont="1" applyAlignment="1" applyProtection="1">
      <alignment horizontal="left" vertical="center"/>
      <protection hidden="1"/>
    </xf>
    <xf numFmtId="0" fontId="47" fillId="2" borderId="0" xfId="0" quotePrefix="1" applyFont="1" applyFill="1" applyBorder="1" applyAlignment="1" applyProtection="1">
      <alignment horizontal="left" vertical="center"/>
      <protection hidden="1"/>
    </xf>
    <xf numFmtId="4" fontId="46" fillId="2" borderId="0" xfId="0" applyNumberFormat="1" applyFont="1" applyFill="1" applyBorder="1" applyAlignment="1" applyProtection="1">
      <alignment horizontal="right" vertical="center"/>
      <protection hidden="1"/>
    </xf>
    <xf numFmtId="0" fontId="25" fillId="0" borderId="0" xfId="0" applyFont="1" applyAlignment="1" applyProtection="1">
      <alignment horizontal="center" vertical="center"/>
      <protection hidden="1"/>
    </xf>
    <xf numFmtId="4" fontId="24" fillId="2" borderId="35" xfId="0" applyNumberFormat="1" applyFont="1" applyFill="1" applyBorder="1" applyAlignment="1" applyProtection="1">
      <alignment horizontal="right" vertical="center"/>
      <protection hidden="1"/>
    </xf>
    <xf numFmtId="4" fontId="24" fillId="2" borderId="0" xfId="0" applyNumberFormat="1" applyFont="1" applyFill="1" applyBorder="1" applyAlignment="1" applyProtection="1">
      <alignment horizontal="right" vertical="center"/>
      <protection hidden="1"/>
    </xf>
    <xf numFmtId="166" fontId="49" fillId="2" borderId="0" xfId="24" applyFont="1" applyFill="1" applyAlignment="1" applyProtection="1">
      <alignment horizontal="centerContinuous" vertical="center"/>
      <protection hidden="1"/>
    </xf>
    <xf numFmtId="0" fontId="48" fillId="2" borderId="0" xfId="0" applyFont="1" applyFill="1" applyAlignment="1" applyProtection="1">
      <alignment horizontal="centerContinuous" vertical="center"/>
      <protection hidden="1"/>
    </xf>
    <xf numFmtId="0" fontId="45" fillId="2" borderId="0" xfId="0" applyFont="1" applyFill="1" applyAlignment="1" applyProtection="1">
      <alignment horizontal="centerContinuous" vertical="center"/>
      <protection hidden="1"/>
    </xf>
    <xf numFmtId="0" fontId="24" fillId="2" borderId="0" xfId="0" applyFont="1" applyFill="1" applyAlignment="1" applyProtection="1">
      <alignment horizontal="centerContinuous" vertical="center"/>
      <protection hidden="1"/>
    </xf>
    <xf numFmtId="0" fontId="49" fillId="5" borderId="32" xfId="0" quotePrefix="1" applyFont="1" applyFill="1" applyBorder="1" applyAlignment="1" applyProtection="1">
      <alignment horizontal="left" vertical="center" wrapText="1"/>
      <protection hidden="1"/>
    </xf>
    <xf numFmtId="4" fontId="24" fillId="2" borderId="0" xfId="0" applyNumberFormat="1" applyFont="1" applyFill="1" applyAlignment="1" applyProtection="1">
      <alignment vertical="center"/>
      <protection hidden="1"/>
    </xf>
    <xf numFmtId="4" fontId="24" fillId="2" borderId="37" xfId="0" applyNumberFormat="1" applyFont="1" applyFill="1" applyBorder="1" applyAlignment="1" applyProtection="1">
      <alignment horizontal="right" vertical="center"/>
      <protection hidden="1"/>
    </xf>
    <xf numFmtId="0" fontId="45" fillId="2" borderId="0" xfId="0" applyFont="1" applyFill="1" applyAlignment="1" applyProtection="1">
      <alignment horizontal="fill" vertical="center" wrapText="1"/>
      <protection hidden="1"/>
    </xf>
    <xf numFmtId="0" fontId="24" fillId="2" borderId="0" xfId="0" applyFont="1" applyFill="1" applyAlignment="1" applyProtection="1">
      <alignment horizontal="fill" vertical="center" wrapText="1"/>
      <protection hidden="1"/>
    </xf>
    <xf numFmtId="0" fontId="50" fillId="12" borderId="0" xfId="0" applyFont="1" applyFill="1" applyBorder="1" applyAlignment="1" applyProtection="1">
      <alignment horizontal="left" vertical="center" wrapText="1"/>
      <protection hidden="1"/>
    </xf>
    <xf numFmtId="0" fontId="50" fillId="12" borderId="0" xfId="0" quotePrefix="1" applyFont="1" applyFill="1" applyBorder="1" applyAlignment="1" applyProtection="1">
      <alignment horizontal="left" vertical="center" wrapText="1"/>
      <protection hidden="1"/>
    </xf>
    <xf numFmtId="4" fontId="49" fillId="5" borderId="31" xfId="0" applyNumberFormat="1" applyFont="1" applyFill="1" applyBorder="1" applyAlignment="1" applyProtection="1">
      <alignment horizontal="right" vertical="center"/>
      <protection hidden="1"/>
    </xf>
    <xf numFmtId="4" fontId="49" fillId="5" borderId="36" xfId="0" applyNumberFormat="1" applyFont="1" applyFill="1" applyBorder="1" applyAlignment="1" applyProtection="1">
      <alignment horizontal="right" vertical="center"/>
      <protection hidden="1"/>
    </xf>
    <xf numFmtId="166" fontId="49" fillId="2" borderId="0" xfId="24" quotePrefix="1" applyFont="1" applyFill="1" applyAlignment="1" applyProtection="1">
      <alignment horizontal="centerContinuous" vertical="center"/>
      <protection hidden="1"/>
    </xf>
    <xf numFmtId="0" fontId="49" fillId="2" borderId="0" xfId="0" applyFont="1" applyFill="1" applyAlignment="1" applyProtection="1">
      <alignment horizontal="centerContinuous" vertical="center"/>
      <protection hidden="1"/>
    </xf>
    <xf numFmtId="0" fontId="49" fillId="2" borderId="0" xfId="0" applyFont="1" applyFill="1" applyBorder="1" applyAlignment="1" applyProtection="1">
      <alignment horizontal="centerContinuous" vertical="center"/>
      <protection hidden="1"/>
    </xf>
    <xf numFmtId="0" fontId="25" fillId="2" borderId="0" xfId="0" applyFont="1" applyFill="1" applyAlignment="1" applyProtection="1">
      <alignment horizontal="left" vertical="center"/>
      <protection hidden="1"/>
    </xf>
    <xf numFmtId="0" fontId="49" fillId="5" borderId="34" xfId="0" quotePrefix="1" applyFont="1" applyFill="1" applyBorder="1" applyAlignment="1" applyProtection="1">
      <alignment horizontal="left" vertical="center" wrapText="1"/>
      <protection hidden="1"/>
    </xf>
    <xf numFmtId="4" fontId="49" fillId="5" borderId="37" xfId="0" applyNumberFormat="1" applyFont="1" applyFill="1" applyBorder="1" applyAlignment="1" applyProtection="1">
      <alignment horizontal="right" vertical="center"/>
      <protection hidden="1"/>
    </xf>
    <xf numFmtId="15" fontId="49" fillId="0" borderId="0" xfId="0" quotePrefix="1" applyNumberFormat="1" applyFont="1" applyAlignment="1" applyProtection="1">
      <alignment horizontal="left" vertical="center"/>
      <protection hidden="1"/>
    </xf>
    <xf numFmtId="0" fontId="50" fillId="12" borderId="0" xfId="0" applyFont="1" applyFill="1" applyAlignment="1" applyProtection="1">
      <alignment vertical="center"/>
      <protection hidden="1"/>
    </xf>
    <xf numFmtId="0" fontId="47" fillId="0" borderId="0" xfId="0" applyFont="1" applyBorder="1" applyAlignment="1" applyProtection="1">
      <alignment vertical="center"/>
      <protection hidden="1"/>
    </xf>
    <xf numFmtId="0" fontId="47" fillId="12" borderId="0" xfId="0" applyFont="1" applyFill="1" applyBorder="1" applyAlignment="1" applyProtection="1">
      <alignment vertical="center"/>
      <protection hidden="1"/>
    </xf>
    <xf numFmtId="0" fontId="47" fillId="6" borderId="38" xfId="0" applyFont="1" applyFill="1" applyBorder="1" applyAlignment="1" applyProtection="1">
      <alignment horizontal="center" vertical="center"/>
      <protection hidden="1"/>
    </xf>
    <xf numFmtId="17" fontId="47" fillId="6" borderId="40" xfId="0" applyNumberFormat="1" applyFont="1" applyFill="1" applyBorder="1" applyAlignment="1" applyProtection="1">
      <alignment horizontal="center" vertical="center" wrapText="1"/>
      <protection hidden="1"/>
    </xf>
    <xf numFmtId="0" fontId="33" fillId="0" borderId="0" xfId="0" quotePrefix="1" applyFont="1" applyFill="1" applyAlignment="1" applyProtection="1">
      <alignment horizontal="left" vertical="center"/>
      <protection hidden="1"/>
    </xf>
    <xf numFmtId="0" fontId="24" fillId="0" borderId="0" xfId="0" applyFont="1" applyFill="1" applyBorder="1" applyAlignment="1" applyProtection="1">
      <alignment vertical="center"/>
      <protection hidden="1"/>
    </xf>
    <xf numFmtId="0" fontId="51" fillId="0" borderId="0" xfId="0" applyFont="1" applyBorder="1" applyAlignment="1" applyProtection="1">
      <alignment vertical="center"/>
      <protection hidden="1"/>
    </xf>
    <xf numFmtId="0" fontId="51" fillId="12" borderId="0" xfId="0" applyFont="1" applyFill="1" applyBorder="1" applyAlignment="1" applyProtection="1">
      <alignment vertical="center"/>
      <protection hidden="1"/>
    </xf>
    <xf numFmtId="0" fontId="36" fillId="0" borderId="0" xfId="0" applyFont="1" applyAlignment="1" applyProtection="1">
      <alignment vertical="center"/>
      <protection hidden="1"/>
    </xf>
    <xf numFmtId="0" fontId="24" fillId="0" borderId="0" xfId="0" applyFont="1" applyBorder="1" applyAlignment="1" applyProtection="1">
      <alignment horizontal="center" vertical="center"/>
      <protection hidden="1"/>
    </xf>
    <xf numFmtId="0" fontId="24" fillId="12" borderId="0" xfId="0" applyFont="1" applyFill="1" applyBorder="1" applyAlignment="1" applyProtection="1">
      <alignment horizontal="center" vertical="center"/>
      <protection hidden="1"/>
    </xf>
    <xf numFmtId="0" fontId="24" fillId="2" borderId="34" xfId="0" quotePrefix="1" applyFont="1" applyFill="1" applyBorder="1" applyAlignment="1" applyProtection="1">
      <alignment horizontal="left" vertical="center" wrapText="1"/>
      <protection hidden="1"/>
    </xf>
    <xf numFmtId="0" fontId="45" fillId="0" borderId="0" xfId="0" applyFont="1" applyFill="1" applyBorder="1" applyAlignment="1" applyProtection="1">
      <alignment vertical="center"/>
      <protection hidden="1"/>
    </xf>
    <xf numFmtId="0" fontId="46" fillId="5" borderId="41" xfId="0" applyFont="1" applyFill="1" applyBorder="1" applyAlignment="1" applyProtection="1">
      <alignment horizontal="center" vertical="center" wrapText="1"/>
      <protection hidden="1"/>
    </xf>
    <xf numFmtId="0" fontId="25" fillId="0" borderId="42" xfId="0" applyFont="1" applyBorder="1" applyAlignment="1" applyProtection="1">
      <alignment horizontal="left" vertical="center" wrapText="1"/>
      <protection hidden="1"/>
    </xf>
    <xf numFmtId="2" fontId="48" fillId="0" borderId="41" xfId="0" applyNumberFormat="1" applyFont="1" applyFill="1" applyBorder="1" applyAlignment="1" applyProtection="1">
      <alignment horizontal="right" vertical="center" wrapText="1"/>
      <protection hidden="1"/>
    </xf>
    <xf numFmtId="43" fontId="25" fillId="0" borderId="41" xfId="17" applyFont="1" applyFill="1" applyBorder="1" applyAlignment="1" applyProtection="1">
      <alignment vertical="center" wrapText="1"/>
      <protection hidden="1"/>
    </xf>
    <xf numFmtId="2" fontId="25" fillId="0" borderId="41" xfId="0" quotePrefix="1" applyNumberFormat="1" applyFont="1" applyFill="1" applyBorder="1" applyAlignment="1" applyProtection="1">
      <alignment horizontal="right" vertical="center" wrapText="1"/>
      <protection hidden="1"/>
    </xf>
    <xf numFmtId="43" fontId="25" fillId="0" borderId="41" xfId="17" applyFont="1" applyFill="1" applyBorder="1" applyAlignment="1" applyProtection="1">
      <alignment horizontal="right" vertical="center" wrapText="1"/>
      <protection hidden="1"/>
    </xf>
    <xf numFmtId="0" fontId="25" fillId="0" borderId="43" xfId="0" applyFont="1" applyBorder="1" applyAlignment="1" applyProtection="1">
      <alignment horizontal="left" vertical="center" wrapText="1"/>
      <protection hidden="1"/>
    </xf>
    <xf numFmtId="2" fontId="48" fillId="0" borderId="44" xfId="0" applyNumberFormat="1" applyFont="1" applyFill="1" applyBorder="1" applyAlignment="1" applyProtection="1">
      <alignment horizontal="right" vertical="center" wrapText="1"/>
      <protection hidden="1"/>
    </xf>
    <xf numFmtId="43" fontId="25" fillId="0" borderId="45" xfId="17" applyFont="1" applyFill="1" applyBorder="1" applyAlignment="1" applyProtection="1">
      <alignment vertical="center" wrapText="1"/>
      <protection hidden="1"/>
    </xf>
    <xf numFmtId="0" fontId="25" fillId="0" borderId="46" xfId="0" applyFont="1" applyBorder="1" applyAlignment="1" applyProtection="1">
      <alignment horizontal="left" vertical="center" wrapText="1"/>
      <protection hidden="1"/>
    </xf>
    <xf numFmtId="15" fontId="47" fillId="5" borderId="44" xfId="0" quotePrefix="1" applyNumberFormat="1" applyFont="1" applyFill="1" applyBorder="1" applyAlignment="1" applyProtection="1">
      <alignment horizontal="center" vertical="center" wrapText="1"/>
      <protection hidden="1"/>
    </xf>
    <xf numFmtId="15" fontId="47" fillId="5" borderId="47" xfId="0" quotePrefix="1" applyNumberFormat="1" applyFont="1" applyFill="1" applyBorder="1" applyAlignment="1" applyProtection="1">
      <alignment horizontal="center" vertical="center" wrapText="1"/>
      <protection hidden="1"/>
    </xf>
    <xf numFmtId="0" fontId="25" fillId="0" borderId="42" xfId="0" applyFont="1" applyFill="1" applyBorder="1" applyAlignment="1" applyProtection="1">
      <alignment horizontal="left" vertical="center" wrapText="1"/>
      <protection hidden="1"/>
    </xf>
    <xf numFmtId="43" fontId="25" fillId="0" borderId="45" xfId="17" applyFont="1" applyFill="1" applyBorder="1" applyAlignment="1" applyProtection="1">
      <alignment horizontal="right" vertical="center" wrapText="1"/>
      <protection hidden="1"/>
    </xf>
    <xf numFmtId="0" fontId="24" fillId="0" borderId="41" xfId="0" applyFont="1" applyFill="1" applyBorder="1" applyAlignment="1" applyProtection="1">
      <alignment vertical="center"/>
      <protection hidden="1"/>
    </xf>
    <xf numFmtId="0" fontId="25" fillId="0" borderId="43" xfId="0" applyFont="1" applyFill="1" applyBorder="1" applyAlignment="1" applyProtection="1">
      <alignment horizontal="left" vertical="center" wrapText="1"/>
      <protection hidden="1"/>
    </xf>
    <xf numFmtId="43" fontId="25" fillId="0" borderId="44" xfId="17" applyFont="1" applyFill="1" applyBorder="1" applyAlignment="1" applyProtection="1">
      <alignment horizontal="right" vertical="center" wrapText="1"/>
      <protection hidden="1"/>
    </xf>
    <xf numFmtId="43" fontId="25" fillId="0" borderId="47" xfId="17" applyFont="1" applyFill="1" applyBorder="1" applyAlignment="1" applyProtection="1">
      <alignment horizontal="right" vertical="center" wrapText="1"/>
      <protection hidden="1"/>
    </xf>
    <xf numFmtId="0" fontId="25" fillId="0" borderId="46" xfId="0" applyFont="1" applyFill="1" applyBorder="1" applyAlignment="1" applyProtection="1">
      <alignment horizontal="left" vertical="center" wrapText="1"/>
      <protection hidden="1"/>
    </xf>
    <xf numFmtId="0" fontId="24" fillId="0" borderId="0" xfId="0" applyFont="1" applyFill="1" applyAlignment="1" applyProtection="1">
      <alignment vertical="center"/>
      <protection hidden="1"/>
    </xf>
    <xf numFmtId="0" fontId="24" fillId="0" borderId="0" xfId="0" applyFont="1" applyFill="1" applyAlignment="1" applyProtection="1">
      <alignment horizontal="left" vertical="center" wrapText="1"/>
      <protection hidden="1"/>
    </xf>
    <xf numFmtId="0" fontId="52" fillId="5" borderId="49" xfId="0" applyFont="1" applyFill="1" applyBorder="1" applyAlignment="1" applyProtection="1">
      <alignment horizontal="center" vertical="center" wrapText="1"/>
      <protection hidden="1"/>
    </xf>
    <xf numFmtId="0" fontId="46" fillId="16" borderId="49" xfId="0" applyFont="1" applyFill="1" applyBorder="1" applyAlignment="1" applyProtection="1">
      <alignment horizontal="center" vertical="center" wrapText="1"/>
      <protection hidden="1"/>
    </xf>
    <xf numFmtId="9" fontId="47" fillId="5" borderId="49" xfId="0" quotePrefix="1" applyNumberFormat="1" applyFont="1" applyFill="1" applyBorder="1" applyAlignment="1" applyProtection="1">
      <alignment horizontal="center" vertical="center" wrapText="1"/>
      <protection hidden="1"/>
    </xf>
    <xf numFmtId="9" fontId="47" fillId="16" borderId="49" xfId="0" quotePrefix="1" applyNumberFormat="1" applyFont="1" applyFill="1" applyBorder="1" applyAlignment="1" applyProtection="1">
      <alignment horizontal="center" vertical="center" wrapText="1"/>
      <protection hidden="1"/>
    </xf>
    <xf numFmtId="43" fontId="25" fillId="13" borderId="49" xfId="17" applyNumberFormat="1" applyFont="1" applyFill="1" applyBorder="1" applyAlignment="1" applyProtection="1">
      <alignment horizontal="center" vertical="center" wrapText="1"/>
      <protection hidden="1"/>
    </xf>
    <xf numFmtId="43" fontId="25" fillId="12" borderId="49" xfId="17" applyNumberFormat="1" applyFont="1" applyFill="1" applyBorder="1" applyAlignment="1" applyProtection="1">
      <alignment horizontal="center" vertical="center" wrapText="1"/>
      <protection hidden="1"/>
    </xf>
    <xf numFmtId="43" fontId="25" fillId="2" borderId="49" xfId="17" applyNumberFormat="1" applyFont="1" applyFill="1" applyBorder="1" applyAlignment="1" applyProtection="1">
      <alignment horizontal="center" vertical="center" wrapText="1"/>
      <protection hidden="1"/>
    </xf>
    <xf numFmtId="0" fontId="25" fillId="0" borderId="50" xfId="0" applyFont="1" applyBorder="1" applyAlignment="1" applyProtection="1">
      <alignment horizontal="left" vertical="center" wrapText="1"/>
      <protection hidden="1"/>
    </xf>
    <xf numFmtId="43" fontId="25" fillId="2" borderId="51" xfId="17" applyFont="1" applyFill="1" applyBorder="1" applyAlignment="1" applyProtection="1">
      <alignment horizontal="center" vertical="center" wrapText="1"/>
      <protection hidden="1"/>
    </xf>
    <xf numFmtId="43" fontId="25" fillId="13" borderId="51" xfId="17" applyFont="1" applyFill="1" applyBorder="1" applyAlignment="1" applyProtection="1">
      <alignment horizontal="center" vertical="center" wrapText="1"/>
      <protection hidden="1"/>
    </xf>
    <xf numFmtId="43" fontId="26" fillId="0" borderId="41" xfId="17" applyFont="1" applyFill="1" applyBorder="1" applyAlignment="1" applyProtection="1">
      <alignment vertical="center" wrapText="1"/>
      <protection hidden="1"/>
    </xf>
    <xf numFmtId="43" fontId="25" fillId="0" borderId="52" xfId="17" applyFont="1" applyFill="1" applyBorder="1" applyAlignment="1" applyProtection="1">
      <alignment vertical="center" wrapText="1"/>
      <protection hidden="1"/>
    </xf>
    <xf numFmtId="0" fontId="37" fillId="0" borderId="0" xfId="0" applyFont="1" applyFill="1" applyAlignment="1" applyProtection="1">
      <alignment vertical="center"/>
      <protection hidden="1"/>
    </xf>
    <xf numFmtId="0" fontId="47" fillId="6" borderId="53" xfId="0" applyFont="1" applyFill="1" applyBorder="1" applyAlignment="1" applyProtection="1">
      <alignment horizontal="center" vertical="center" wrapText="1"/>
      <protection hidden="1"/>
    </xf>
    <xf numFmtId="0" fontId="47" fillId="6" borderId="54" xfId="0" applyFont="1" applyFill="1" applyBorder="1" applyAlignment="1" applyProtection="1">
      <alignment horizontal="center" vertical="center" wrapText="1"/>
      <protection hidden="1"/>
    </xf>
    <xf numFmtId="0" fontId="47" fillId="6" borderId="55" xfId="0" applyFont="1" applyFill="1" applyBorder="1" applyAlignment="1" applyProtection="1">
      <alignment horizontal="center" vertical="center" wrapText="1"/>
      <protection hidden="1"/>
    </xf>
    <xf numFmtId="4" fontId="24" fillId="0" borderId="42" xfId="0" applyNumberFormat="1" applyFont="1" applyBorder="1" applyAlignment="1" applyProtection="1">
      <alignment vertical="center"/>
      <protection hidden="1"/>
    </xf>
    <xf numFmtId="4" fontId="24" fillId="0" borderId="41" xfId="0" applyNumberFormat="1" applyFont="1" applyFill="1" applyBorder="1" applyAlignment="1" applyProtection="1">
      <alignment horizontal="center" vertical="center"/>
      <protection hidden="1"/>
    </xf>
    <xf numFmtId="4" fontId="24" fillId="0" borderId="45" xfId="0" applyNumberFormat="1" applyFont="1" applyFill="1" applyBorder="1" applyAlignment="1" applyProtection="1">
      <alignment horizontal="center" vertical="center"/>
      <protection hidden="1"/>
    </xf>
    <xf numFmtId="0" fontId="24" fillId="0" borderId="42" xfId="0" applyFont="1" applyBorder="1" applyAlignment="1" applyProtection="1">
      <alignment horizontal="left" vertical="center" wrapText="1"/>
      <protection hidden="1"/>
    </xf>
    <xf numFmtId="4" fontId="24" fillId="0" borderId="41" xfId="0" applyNumberFormat="1" applyFont="1" applyBorder="1" applyAlignment="1" applyProtection="1">
      <alignment horizontal="center" vertical="center"/>
      <protection hidden="1"/>
    </xf>
    <xf numFmtId="4" fontId="24" fillId="0" borderId="45" xfId="0" applyNumberFormat="1" applyFont="1" applyBorder="1" applyAlignment="1" applyProtection="1">
      <alignment horizontal="center" vertical="center"/>
      <protection hidden="1"/>
    </xf>
    <xf numFmtId="4" fontId="46" fillId="17" borderId="42" xfId="0" applyNumberFormat="1" applyFont="1" applyFill="1" applyBorder="1" applyAlignment="1" applyProtection="1">
      <alignment horizontal="left" vertical="center" wrapText="1"/>
      <protection hidden="1"/>
    </xf>
    <xf numFmtId="4" fontId="46" fillId="17" borderId="41" xfId="0" applyNumberFormat="1" applyFont="1" applyFill="1" applyBorder="1" applyAlignment="1" applyProtection="1">
      <alignment horizontal="center" vertical="center" wrapText="1"/>
      <protection hidden="1"/>
    </xf>
    <xf numFmtId="4" fontId="46" fillId="17" borderId="45" xfId="0" applyNumberFormat="1" applyFont="1" applyFill="1" applyBorder="1" applyAlignment="1" applyProtection="1">
      <alignment horizontal="center" vertical="center" wrapText="1"/>
      <protection hidden="1"/>
    </xf>
    <xf numFmtId="4" fontId="25" fillId="0" borderId="41" xfId="0" applyNumberFormat="1" applyFont="1" applyFill="1" applyBorder="1" applyAlignment="1" applyProtection="1">
      <alignment horizontal="center" vertical="center"/>
      <protection hidden="1"/>
    </xf>
    <xf numFmtId="4" fontId="25" fillId="0" borderId="45" xfId="0" applyNumberFormat="1" applyFont="1" applyFill="1" applyBorder="1" applyAlignment="1" applyProtection="1">
      <alignment horizontal="center" vertical="center"/>
      <protection hidden="1"/>
    </xf>
    <xf numFmtId="4" fontId="24" fillId="0" borderId="43" xfId="0" applyNumberFormat="1" applyFont="1" applyBorder="1" applyAlignment="1" applyProtection="1">
      <alignment vertical="center"/>
      <protection hidden="1"/>
    </xf>
    <xf numFmtId="4" fontId="25" fillId="0" borderId="44" xfId="0" applyNumberFormat="1" applyFont="1" applyFill="1" applyBorder="1" applyAlignment="1" applyProtection="1">
      <alignment horizontal="center" vertical="center"/>
      <protection hidden="1"/>
    </xf>
    <xf numFmtId="4" fontId="25" fillId="0" borderId="47" xfId="0" applyNumberFormat="1" applyFont="1" applyFill="1" applyBorder="1" applyAlignment="1" applyProtection="1">
      <alignment horizontal="center" vertical="center"/>
      <protection hidden="1"/>
    </xf>
    <xf numFmtId="4" fontId="24" fillId="0" borderId="46" xfId="0" applyNumberFormat="1" applyFont="1" applyBorder="1" applyAlignment="1" applyProtection="1">
      <alignment vertical="center"/>
      <protection hidden="1"/>
    </xf>
    <xf numFmtId="4" fontId="24" fillId="0" borderId="52" xfId="0" applyNumberFormat="1" applyFont="1" applyFill="1" applyBorder="1" applyAlignment="1" applyProtection="1">
      <alignment horizontal="center" vertical="center"/>
      <protection hidden="1"/>
    </xf>
    <xf numFmtId="4" fontId="24" fillId="0" borderId="48" xfId="0" applyNumberFormat="1" applyFont="1" applyFill="1" applyBorder="1" applyAlignment="1" applyProtection="1">
      <alignment horizontal="center" vertical="center"/>
      <protection hidden="1"/>
    </xf>
    <xf numFmtId="15" fontId="47" fillId="5" borderId="43" xfId="0" quotePrefix="1" applyNumberFormat="1" applyFont="1" applyFill="1" applyBorder="1" applyAlignment="1" applyProtection="1">
      <alignment horizontal="center" vertical="center" wrapText="1"/>
      <protection hidden="1"/>
    </xf>
    <xf numFmtId="0" fontId="24" fillId="0" borderId="42" xfId="0" applyFont="1" applyBorder="1" applyAlignment="1" applyProtection="1">
      <alignment vertical="center"/>
      <protection hidden="1"/>
    </xf>
    <xf numFmtId="0" fontId="47" fillId="6" borderId="53" xfId="0" applyFont="1" applyFill="1" applyBorder="1" applyAlignment="1" applyProtection="1">
      <alignment horizontal="center" vertical="center"/>
      <protection hidden="1"/>
    </xf>
    <xf numFmtId="4" fontId="24" fillId="0" borderId="45" xfId="0" applyNumberFormat="1" applyFont="1" applyFill="1" applyBorder="1" applyAlignment="1" applyProtection="1">
      <alignment vertical="center"/>
      <protection hidden="1"/>
    </xf>
    <xf numFmtId="0" fontId="24" fillId="12" borderId="42" xfId="0" quotePrefix="1" applyFont="1" applyFill="1" applyBorder="1" applyAlignment="1" applyProtection="1">
      <alignment horizontal="left" vertical="center"/>
      <protection hidden="1"/>
    </xf>
    <xf numFmtId="43" fontId="25" fillId="0" borderId="41" xfId="17" applyNumberFormat="1" applyFont="1" applyFill="1" applyBorder="1" applyAlignment="1" applyProtection="1">
      <alignment horizontal="right" vertical="center" wrapText="1"/>
      <protection hidden="1"/>
    </xf>
    <xf numFmtId="167" fontId="25" fillId="13" borderId="49" xfId="17" applyNumberFormat="1" applyFont="1" applyFill="1" applyBorder="1" applyAlignment="1" applyProtection="1">
      <alignment horizontal="center" vertical="center" wrapText="1"/>
      <protection hidden="1"/>
    </xf>
    <xf numFmtId="167" fontId="25" fillId="0" borderId="56" xfId="17" applyNumberFormat="1" applyFont="1" applyBorder="1" applyAlignment="1" applyProtection="1">
      <alignment horizontal="left" vertical="center" wrapText="1"/>
      <protection hidden="1"/>
    </xf>
    <xf numFmtId="167" fontId="25" fillId="13" borderId="57" xfId="17" applyNumberFormat="1" applyFont="1" applyFill="1" applyBorder="1" applyAlignment="1" applyProtection="1">
      <alignment horizontal="center" vertical="center" wrapText="1"/>
      <protection hidden="1"/>
    </xf>
    <xf numFmtId="167" fontId="24" fillId="12" borderId="0" xfId="17" applyNumberFormat="1" applyFont="1" applyFill="1" applyBorder="1" applyAlignment="1" applyProtection="1">
      <alignment horizontal="center" vertical="center"/>
      <protection hidden="1"/>
    </xf>
    <xf numFmtId="167" fontId="24" fillId="0" borderId="0" xfId="17" applyNumberFormat="1" applyFont="1" applyBorder="1" applyAlignment="1" applyProtection="1">
      <alignment horizontal="center" vertical="center"/>
      <protection hidden="1"/>
    </xf>
    <xf numFmtId="167" fontId="25" fillId="0" borderId="58" xfId="17" applyNumberFormat="1" applyFont="1" applyBorder="1" applyAlignment="1" applyProtection="1">
      <alignment horizontal="left" vertical="center" wrapText="1"/>
      <protection hidden="1"/>
    </xf>
    <xf numFmtId="167" fontId="25" fillId="2" borderId="49" xfId="17" applyNumberFormat="1" applyFont="1" applyFill="1" applyBorder="1" applyAlignment="1" applyProtection="1">
      <alignment horizontal="center" vertical="center" wrapText="1"/>
      <protection hidden="1"/>
    </xf>
    <xf numFmtId="167" fontId="25" fillId="0" borderId="49" xfId="17" applyNumberFormat="1" applyFont="1" applyFill="1" applyBorder="1" applyAlignment="1" applyProtection="1">
      <alignment horizontal="center" vertical="center" wrapText="1"/>
      <protection hidden="1"/>
    </xf>
    <xf numFmtId="43" fontId="25" fillId="12" borderId="49" xfId="17" applyNumberFormat="1" applyFont="1" applyFill="1" applyBorder="1" applyAlignment="1" applyProtection="1">
      <alignment horizontal="center" wrapText="1"/>
      <protection hidden="1"/>
    </xf>
    <xf numFmtId="43" fontId="25" fillId="0" borderId="58" xfId="17" applyNumberFormat="1" applyFont="1" applyBorder="1" applyAlignment="1" applyProtection="1">
      <alignment horizontal="left" vertical="center" wrapText="1"/>
      <protection hidden="1"/>
    </xf>
    <xf numFmtId="43" fontId="24" fillId="12" borderId="0" xfId="17" applyNumberFormat="1" applyFont="1" applyFill="1" applyBorder="1" applyAlignment="1" applyProtection="1">
      <alignment horizontal="center" vertical="center"/>
      <protection hidden="1"/>
    </xf>
    <xf numFmtId="43" fontId="24" fillId="0" borderId="0" xfId="17" applyNumberFormat="1" applyFont="1" applyBorder="1" applyAlignment="1" applyProtection="1">
      <alignment horizontal="center" vertical="center"/>
      <protection hidden="1"/>
    </xf>
    <xf numFmtId="4" fontId="24" fillId="12" borderId="42" xfId="0" applyNumberFormat="1" applyFont="1" applyFill="1" applyBorder="1" applyAlignment="1" applyProtection="1">
      <alignment vertical="center" wrapText="1"/>
      <protection hidden="1"/>
    </xf>
    <xf numFmtId="0" fontId="24" fillId="12" borderId="0" xfId="21" applyFont="1" applyFill="1" applyProtection="1">
      <protection hidden="1"/>
    </xf>
    <xf numFmtId="0" fontId="39" fillId="0" borderId="0" xfId="0" applyFont="1" applyAlignment="1">
      <alignment horizontal="center" vertical="center"/>
    </xf>
    <xf numFmtId="0" fontId="39" fillId="0" borderId="0" xfId="0" applyFont="1" applyAlignment="1">
      <alignment vertical="center"/>
    </xf>
    <xf numFmtId="43" fontId="0" fillId="0" borderId="0" xfId="17" applyFont="1" applyAlignment="1">
      <alignment horizontal="center" vertical="center"/>
    </xf>
    <xf numFmtId="0" fontId="0" fillId="0" borderId="0" xfId="0" applyAlignment="1">
      <alignment vertical="center"/>
    </xf>
    <xf numFmtId="0" fontId="39" fillId="0" borderId="2" xfId="0" applyFont="1" applyBorder="1" applyAlignment="1">
      <alignment vertical="center"/>
    </xf>
    <xf numFmtId="43" fontId="0" fillId="0" borderId="2" xfId="17" applyFont="1" applyBorder="1" applyAlignment="1">
      <alignment horizontal="center" vertical="center"/>
    </xf>
    <xf numFmtId="43" fontId="13" fillId="0" borderId="2" xfId="17" applyFont="1" applyBorder="1" applyAlignment="1">
      <alignment horizontal="center" vertical="center"/>
    </xf>
    <xf numFmtId="0" fontId="54" fillId="18" borderId="2" xfId="0" applyFont="1" applyFill="1" applyBorder="1" applyAlignment="1">
      <alignment horizontal="center" vertical="center"/>
    </xf>
    <xf numFmtId="0" fontId="55" fillId="18" borderId="2" xfId="0" applyFont="1" applyFill="1" applyBorder="1" applyAlignment="1">
      <alignment horizontal="center" vertical="center"/>
    </xf>
    <xf numFmtId="0" fontId="43" fillId="0" borderId="0" xfId="0" applyFont="1" applyAlignment="1">
      <alignment horizontal="center" vertical="center"/>
    </xf>
    <xf numFmtId="0" fontId="55" fillId="19" borderId="2" xfId="0" applyFont="1" applyFill="1" applyBorder="1" applyAlignment="1">
      <alignment horizontal="center" vertical="center"/>
    </xf>
    <xf numFmtId="37" fontId="24" fillId="0" borderId="3" xfId="23" applyNumberFormat="1" applyFont="1" applyBorder="1" applyProtection="1"/>
    <xf numFmtId="37" fontId="24" fillId="0" borderId="4" xfId="23" applyNumberFormat="1" applyFont="1" applyBorder="1" applyProtection="1"/>
    <xf numFmtId="37" fontId="24" fillId="7" borderId="4" xfId="23" applyNumberFormat="1" applyFont="1" applyFill="1" applyBorder="1" applyProtection="1"/>
    <xf numFmtId="0" fontId="22" fillId="0" borderId="5" xfId="23" applyNumberFormat="1" applyFont="1" applyBorder="1" applyAlignment="1" applyProtection="1">
      <alignment horizontal="center"/>
    </xf>
    <xf numFmtId="4" fontId="13" fillId="3" borderId="5" xfId="21" applyNumberFormat="1" applyFill="1" applyBorder="1"/>
    <xf numFmtId="4" fontId="13" fillId="0" borderId="6" xfId="21" applyNumberFormat="1" applyBorder="1"/>
    <xf numFmtId="4" fontId="13" fillId="0" borderId="3" xfId="21" applyNumberFormat="1" applyBorder="1"/>
    <xf numFmtId="4" fontId="13" fillId="4" borderId="5" xfId="21" applyNumberFormat="1" applyFill="1" applyBorder="1"/>
    <xf numFmtId="4" fontId="13" fillId="0" borderId="5" xfId="21" applyNumberFormat="1" applyBorder="1"/>
    <xf numFmtId="4" fontId="13" fillId="20" borderId="6" xfId="21" applyNumberFormat="1" applyFill="1" applyBorder="1"/>
    <xf numFmtId="0" fontId="22" fillId="0" borderId="7" xfId="23" applyNumberFormat="1" applyFont="1" applyBorder="1" applyAlignment="1" applyProtection="1">
      <alignment horizontal="center"/>
    </xf>
    <xf numFmtId="4" fontId="13" fillId="3" borderId="7" xfId="21" applyNumberFormat="1" applyFill="1" applyBorder="1"/>
    <xf numFmtId="4" fontId="13" fillId="0" borderId="0" xfId="21" applyNumberFormat="1" applyBorder="1"/>
    <xf numFmtId="4" fontId="13" fillId="0" borderId="4" xfId="21" applyNumberFormat="1" applyBorder="1"/>
    <xf numFmtId="4" fontId="13" fillId="4" borderId="7" xfId="21" applyNumberFormat="1" applyFill="1" applyBorder="1"/>
    <xf numFmtId="4" fontId="13" fillId="0" borderId="7" xfId="21" applyNumberFormat="1" applyBorder="1"/>
    <xf numFmtId="4" fontId="13" fillId="20" borderId="0" xfId="21" applyNumberFormat="1" applyFill="1" applyBorder="1"/>
    <xf numFmtId="0" fontId="22" fillId="7" borderId="7" xfId="23" applyNumberFormat="1" applyFont="1" applyFill="1" applyBorder="1" applyAlignment="1" applyProtection="1">
      <alignment horizontal="center"/>
    </xf>
    <xf numFmtId="4" fontId="13" fillId="7" borderId="7" xfId="21" applyNumberFormat="1" applyFill="1" applyBorder="1"/>
    <xf numFmtId="4" fontId="13" fillId="7" borderId="0" xfId="21" applyNumberFormat="1" applyFill="1" applyBorder="1"/>
    <xf numFmtId="4" fontId="13" fillId="7" borderId="4" xfId="21" applyNumberFormat="1" applyFill="1" applyBorder="1"/>
    <xf numFmtId="4" fontId="13" fillId="3" borderId="0" xfId="21" applyNumberFormat="1" applyFill="1" applyBorder="1"/>
    <xf numFmtId="0" fontId="13" fillId="7" borderId="0" xfId="21" applyFill="1"/>
    <xf numFmtId="0" fontId="13" fillId="7" borderId="0" xfId="21" applyFill="1" applyAlignment="1">
      <alignment horizontal="left"/>
    </xf>
    <xf numFmtId="0" fontId="13" fillId="8" borderId="0" xfId="21" applyFill="1"/>
    <xf numFmtId="4" fontId="13" fillId="4" borderId="0" xfId="21" applyNumberFormat="1" applyFill="1" applyBorder="1"/>
    <xf numFmtId="4" fontId="13" fillId="19" borderId="0" xfId="21" applyNumberFormat="1" applyFill="1" applyBorder="1"/>
    <xf numFmtId="0" fontId="25" fillId="0" borderId="64" xfId="0" applyFont="1" applyFill="1" applyBorder="1" applyAlignment="1" applyProtection="1">
      <alignment horizontal="left" vertical="center" wrapText="1"/>
      <protection hidden="1"/>
    </xf>
    <xf numFmtId="0" fontId="25" fillId="0" borderId="65" xfId="0" applyFont="1" applyFill="1" applyBorder="1" applyAlignment="1" applyProtection="1">
      <alignment horizontal="left" vertical="center" wrapText="1"/>
      <protection hidden="1"/>
    </xf>
    <xf numFmtId="15" fontId="56" fillId="5" borderId="51" xfId="0" quotePrefix="1" applyNumberFormat="1" applyFont="1" applyFill="1" applyBorder="1" applyAlignment="1" applyProtection="1">
      <alignment horizontal="center" vertical="center" wrapText="1"/>
      <protection hidden="1"/>
    </xf>
    <xf numFmtId="15" fontId="56" fillId="16" borderId="51" xfId="0" quotePrefix="1" applyNumberFormat="1" applyFont="1" applyFill="1" applyBorder="1" applyAlignment="1" applyProtection="1">
      <alignment horizontal="center" vertical="center" wrapText="1"/>
      <protection hidden="1"/>
    </xf>
    <xf numFmtId="0" fontId="51" fillId="6" borderId="0" xfId="0" applyFont="1" applyFill="1" applyBorder="1" applyAlignment="1" applyProtection="1">
      <alignment horizontal="center" vertical="center"/>
      <protection hidden="1"/>
    </xf>
    <xf numFmtId="15" fontId="57" fillId="5" borderId="44" xfId="0" applyNumberFormat="1" applyFont="1" applyFill="1" applyBorder="1" applyAlignment="1" applyProtection="1">
      <alignment horizontal="center" vertical="center" wrapText="1"/>
      <protection hidden="1"/>
    </xf>
    <xf numFmtId="15" fontId="57" fillId="5" borderId="44" xfId="0" quotePrefix="1" applyNumberFormat="1" applyFont="1" applyFill="1" applyBorder="1" applyAlignment="1" applyProtection="1">
      <alignment horizontal="center" vertical="center" wrapText="1"/>
      <protection hidden="1"/>
    </xf>
    <xf numFmtId="15" fontId="57" fillId="5" borderId="66" xfId="0" applyNumberFormat="1" applyFont="1" applyFill="1" applyBorder="1" applyAlignment="1" applyProtection="1">
      <alignment horizontal="center" vertical="center" wrapText="1"/>
      <protection hidden="1"/>
    </xf>
    <xf numFmtId="0" fontId="58" fillId="0" borderId="0" xfId="0" applyFont="1"/>
    <xf numFmtId="9" fontId="59" fillId="0" borderId="0" xfId="25" applyFont="1" applyFill="1" applyBorder="1" applyAlignment="1" applyProtection="1">
      <alignment horizontal="center" vertical="center"/>
      <protection hidden="1"/>
    </xf>
    <xf numFmtId="9" fontId="59" fillId="0" borderId="0" xfId="0" applyNumberFormat="1" applyFont="1" applyFill="1" applyAlignment="1" applyProtection="1">
      <alignment horizontal="center" vertical="center"/>
      <protection hidden="1"/>
    </xf>
    <xf numFmtId="168" fontId="21" fillId="2" borderId="7" xfId="23" applyNumberFormat="1" applyFont="1" applyFill="1" applyBorder="1" applyProtection="1"/>
    <xf numFmtId="0" fontId="21" fillId="2" borderId="0" xfId="23" applyFont="1" applyFill="1" applyBorder="1"/>
    <xf numFmtId="0" fontId="13" fillId="2" borderId="0" xfId="21" applyFill="1" applyBorder="1"/>
    <xf numFmtId="0" fontId="13" fillId="12" borderId="0" xfId="21" applyFill="1"/>
    <xf numFmtId="0" fontId="13" fillId="0" borderId="0" xfId="21"/>
    <xf numFmtId="37" fontId="35" fillId="9" borderId="0" xfId="23" applyNumberFormat="1" applyFont="1" applyFill="1" applyBorder="1" applyAlignment="1" applyProtection="1">
      <alignment horizontal="centerContinuous"/>
    </xf>
    <xf numFmtId="0" fontId="13" fillId="2" borderId="0" xfId="21" applyFill="1" applyAlignment="1">
      <alignment horizontal="centerContinuous"/>
    </xf>
    <xf numFmtId="0" fontId="40" fillId="10" borderId="5" xfId="21" applyFont="1" applyFill="1" applyBorder="1"/>
    <xf numFmtId="0" fontId="41" fillId="10" borderId="6" xfId="21" applyFont="1" applyFill="1" applyBorder="1" applyAlignment="1">
      <alignment horizontal="right"/>
    </xf>
    <xf numFmtId="10" fontId="41" fillId="10" borderId="3" xfId="26" applyNumberFormat="1" applyFont="1" applyFill="1" applyBorder="1" applyAlignment="1">
      <alignment horizontal="center"/>
    </xf>
    <xf numFmtId="0" fontId="41" fillId="10" borderId="6" xfId="21" quotePrefix="1" applyFont="1" applyFill="1" applyBorder="1" applyAlignment="1">
      <alignment horizontal="right"/>
    </xf>
    <xf numFmtId="0" fontId="13" fillId="0" borderId="8" xfId="21" applyBorder="1"/>
    <xf numFmtId="0" fontId="13" fillId="0" borderId="9" xfId="21" applyBorder="1"/>
    <xf numFmtId="49" fontId="42" fillId="11" borderId="10" xfId="21" applyNumberFormat="1" applyFont="1" applyFill="1" applyBorder="1" applyAlignment="1">
      <alignment horizontal="center" wrapText="1"/>
    </xf>
    <xf numFmtId="49" fontId="42" fillId="0" borderId="10" xfId="21" applyNumberFormat="1" applyFont="1" applyBorder="1" applyAlignment="1">
      <alignment horizontal="center" wrapText="1"/>
    </xf>
    <xf numFmtId="49" fontId="42" fillId="20" borderId="10" xfId="21" applyNumberFormat="1" applyFont="1" applyFill="1" applyBorder="1" applyAlignment="1">
      <alignment horizontal="center" wrapText="1"/>
    </xf>
    <xf numFmtId="168" fontId="21" fillId="0" borderId="5" xfId="23" applyNumberFormat="1" applyFont="1" applyBorder="1" applyProtection="1"/>
    <xf numFmtId="37" fontId="24" fillId="0" borderId="3" xfId="23" quotePrefix="1" applyNumberFormat="1" applyFont="1" applyBorder="1" applyAlignment="1" applyProtection="1">
      <alignment horizontal="left"/>
    </xf>
    <xf numFmtId="37" fontId="24" fillId="0" borderId="4" xfId="23" quotePrefix="1" applyNumberFormat="1" applyFont="1" applyBorder="1" applyAlignment="1" applyProtection="1">
      <alignment horizontal="left"/>
    </xf>
    <xf numFmtId="0" fontId="22" fillId="0" borderId="11" xfId="23" applyNumberFormat="1" applyFont="1" applyBorder="1" applyAlignment="1" applyProtection="1">
      <alignment horizontal="center"/>
    </xf>
    <xf numFmtId="37" fontId="24" fillId="0" borderId="12" xfId="23" applyNumberFormat="1" applyFont="1" applyFill="1" applyBorder="1" applyProtection="1"/>
    <xf numFmtId="4" fontId="13" fillId="3" borderId="11" xfId="21" applyNumberFormat="1" applyFill="1" applyBorder="1"/>
    <xf numFmtId="4" fontId="13" fillId="0" borderId="13" xfId="21" applyNumberFormat="1" applyBorder="1"/>
    <xf numFmtId="4" fontId="13" fillId="0" borderId="12" xfId="21" applyNumberFormat="1" applyBorder="1"/>
    <xf numFmtId="4" fontId="13" fillId="4" borderId="11" xfId="21" applyNumberFormat="1" applyFill="1" applyBorder="1"/>
    <xf numFmtId="4" fontId="13" fillId="20" borderId="13" xfId="21" applyNumberFormat="1" applyFill="1" applyBorder="1"/>
    <xf numFmtId="168" fontId="21" fillId="0" borderId="7" xfId="23" applyNumberFormat="1" applyFont="1" applyBorder="1" applyProtection="1"/>
    <xf numFmtId="37" fontId="24" fillId="0" borderId="4" xfId="23" applyNumberFormat="1" applyFont="1" applyFill="1" applyBorder="1" applyProtection="1"/>
    <xf numFmtId="168" fontId="21" fillId="0" borderId="11" xfId="23" applyNumberFormat="1" applyFont="1" applyBorder="1" applyProtection="1"/>
    <xf numFmtId="4" fontId="13" fillId="0" borderId="11" xfId="21" applyNumberFormat="1" applyBorder="1"/>
    <xf numFmtId="0" fontId="22" fillId="7" borderId="11" xfId="23" applyNumberFormat="1" applyFont="1" applyFill="1" applyBorder="1" applyAlignment="1" applyProtection="1">
      <alignment horizontal="center"/>
    </xf>
    <xf numFmtId="37" fontId="24" fillId="7" borderId="12" xfId="23" applyNumberFormat="1" applyFont="1" applyFill="1" applyBorder="1" applyProtection="1"/>
    <xf numFmtId="4" fontId="13" fillId="7" borderId="11" xfId="21" applyNumberFormat="1" applyFill="1" applyBorder="1"/>
    <xf numFmtId="4" fontId="13" fillId="7" borderId="13" xfId="21" applyNumberFormat="1" applyFill="1" applyBorder="1"/>
    <xf numFmtId="4" fontId="13" fillId="7" borderId="12" xfId="21" applyNumberFormat="1" applyFill="1" applyBorder="1"/>
    <xf numFmtId="4" fontId="13" fillId="4" borderId="6" xfId="21" applyNumberFormat="1" applyFill="1" applyBorder="1"/>
    <xf numFmtId="37" fontId="24" fillId="0" borderId="12" xfId="23" quotePrefix="1" applyNumberFormat="1" applyFont="1" applyFill="1" applyBorder="1" applyAlignment="1" applyProtection="1">
      <alignment horizontal="left"/>
    </xf>
    <xf numFmtId="4" fontId="13" fillId="4" borderId="13" xfId="21" applyNumberFormat="1" applyFill="1" applyBorder="1"/>
    <xf numFmtId="4" fontId="13" fillId="0" borderId="0" xfId="21" applyNumberFormat="1"/>
    <xf numFmtId="37" fontId="24" fillId="0" borderId="12" xfId="23" applyNumberFormat="1" applyFont="1" applyBorder="1" applyProtection="1"/>
    <xf numFmtId="0" fontId="22" fillId="0" borderId="7" xfId="23" applyNumberFormat="1" applyFont="1" applyFill="1" applyBorder="1" applyAlignment="1" applyProtection="1">
      <alignment horizontal="center"/>
    </xf>
    <xf numFmtId="4" fontId="13" fillId="0" borderId="7" xfId="21" applyNumberFormat="1" applyFill="1" applyBorder="1"/>
    <xf numFmtId="4" fontId="13" fillId="0" borderId="0" xfId="21" applyNumberFormat="1" applyFill="1" applyBorder="1"/>
    <xf numFmtId="4" fontId="13" fillId="0" borderId="4" xfId="21" applyNumberFormat="1" applyFill="1" applyBorder="1"/>
    <xf numFmtId="4" fontId="13" fillId="0" borderId="11" xfId="21" applyNumberFormat="1" applyFill="1" applyBorder="1"/>
    <xf numFmtId="4" fontId="13" fillId="0" borderId="13" xfId="21" applyNumberFormat="1" applyFill="1" applyBorder="1"/>
    <xf numFmtId="4" fontId="13" fillId="0" borderId="12" xfId="21" applyNumberFormat="1" applyFill="1" applyBorder="1"/>
    <xf numFmtId="4" fontId="13" fillId="2" borderId="0" xfId="21" applyNumberFormat="1" applyFill="1" applyBorder="1"/>
    <xf numFmtId="37" fontId="24" fillId="2" borderId="0" xfId="23" applyNumberFormat="1" applyFont="1" applyFill="1" applyBorder="1" applyProtection="1"/>
    <xf numFmtId="4" fontId="13" fillId="21" borderId="0" xfId="21" applyNumberFormat="1" applyFill="1" applyBorder="1"/>
    <xf numFmtId="0" fontId="22" fillId="2" borderId="8" xfId="23" applyNumberFormat="1" applyFont="1" applyFill="1" applyBorder="1" applyAlignment="1" applyProtection="1">
      <alignment horizontal="center"/>
    </xf>
    <xf numFmtId="37" fontId="25" fillId="2" borderId="9" xfId="23" applyNumberFormat="1" applyFont="1" applyFill="1" applyBorder="1" applyProtection="1"/>
    <xf numFmtId="0" fontId="13" fillId="2" borderId="9" xfId="21" applyFill="1" applyBorder="1"/>
    <xf numFmtId="10" fontId="43" fillId="2" borderId="0" xfId="26" applyNumberFormat="1" applyFont="1" applyFill="1" applyAlignment="1">
      <alignment horizontal="center"/>
    </xf>
    <xf numFmtId="0" fontId="43" fillId="2" borderId="0" xfId="21" quotePrefix="1" applyFont="1" applyFill="1" applyAlignment="1">
      <alignment horizontal="right"/>
    </xf>
    <xf numFmtId="0" fontId="43" fillId="2" borderId="0" xfId="21" applyFont="1" applyFill="1" applyAlignment="1">
      <alignment horizontal="left"/>
    </xf>
    <xf numFmtId="10" fontId="13" fillId="0" borderId="0" xfId="21" applyNumberFormat="1"/>
    <xf numFmtId="0" fontId="13" fillId="2" borderId="14" xfId="21" applyFill="1" applyBorder="1"/>
    <xf numFmtId="0" fontId="39" fillId="2" borderId="10" xfId="21" applyFont="1" applyFill="1" applyBorder="1" applyAlignment="1">
      <alignment horizontal="center"/>
    </xf>
    <xf numFmtId="0" fontId="37" fillId="2" borderId="10" xfId="21" applyFont="1" applyFill="1" applyBorder="1"/>
    <xf numFmtId="0" fontId="13" fillId="2" borderId="10" xfId="21" applyFill="1" applyBorder="1"/>
    <xf numFmtId="0" fontId="37" fillId="2" borderId="10" xfId="21" applyFont="1" applyFill="1" applyBorder="1" applyAlignment="1">
      <alignment horizontal="centerContinuous"/>
    </xf>
    <xf numFmtId="0" fontId="13" fillId="2" borderId="10" xfId="21" applyFill="1" applyBorder="1" applyAlignment="1">
      <alignment horizontal="centerContinuous"/>
    </xf>
    <xf numFmtId="0" fontId="37" fillId="2" borderId="10" xfId="21" applyFont="1" applyFill="1" applyBorder="1" applyAlignment="1">
      <alignment horizontal="left"/>
    </xf>
    <xf numFmtId="0" fontId="13" fillId="2" borderId="8" xfId="21" applyFill="1" applyBorder="1" applyAlignment="1">
      <alignment horizontal="centerContinuous"/>
    </xf>
    <xf numFmtId="0" fontId="13" fillId="2" borderId="15" xfId="21" applyFill="1" applyBorder="1" applyAlignment="1">
      <alignment horizontal="centerContinuous"/>
    </xf>
    <xf numFmtId="0" fontId="13" fillId="2" borderId="9" xfId="21" applyFill="1" applyBorder="1" applyAlignment="1">
      <alignment horizontal="centerContinuous"/>
    </xf>
    <xf numFmtId="0" fontId="13" fillId="2" borderId="16" xfId="21" applyFill="1" applyBorder="1"/>
    <xf numFmtId="4" fontId="13" fillId="2" borderId="10" xfId="21" applyNumberFormat="1" applyFill="1" applyBorder="1"/>
    <xf numFmtId="0" fontId="13" fillId="2" borderId="8" xfId="21" applyFill="1" applyBorder="1"/>
    <xf numFmtId="4" fontId="13" fillId="2" borderId="15" xfId="21" applyNumberFormat="1" applyFill="1" applyBorder="1"/>
    <xf numFmtId="4" fontId="13" fillId="2" borderId="15" xfId="21" applyNumberFormat="1" applyFill="1" applyBorder="1" applyAlignment="1">
      <alignment horizontal="centerContinuous"/>
    </xf>
    <xf numFmtId="4" fontId="13" fillId="2" borderId="9" xfId="21" applyNumberFormat="1" applyFill="1" applyBorder="1" applyAlignment="1">
      <alignment horizontal="centerContinuous"/>
    </xf>
    <xf numFmtId="0" fontId="13" fillId="2" borderId="15" xfId="21" applyFill="1" applyBorder="1"/>
    <xf numFmtId="4" fontId="13" fillId="2" borderId="0" xfId="21" applyNumberFormat="1" applyFill="1"/>
    <xf numFmtId="0" fontId="13" fillId="2" borderId="17" xfId="21" applyFill="1" applyBorder="1"/>
    <xf numFmtId="0" fontId="39" fillId="2" borderId="17" xfId="21" applyFont="1" applyFill="1" applyBorder="1" applyAlignment="1">
      <alignment horizontal="center"/>
    </xf>
    <xf numFmtId="0" fontId="37" fillId="2" borderId="17" xfId="21" applyFont="1" applyFill="1" applyBorder="1"/>
    <xf numFmtId="4" fontId="13" fillId="2" borderId="17" xfId="21" applyNumberFormat="1" applyFill="1" applyBorder="1"/>
    <xf numFmtId="0" fontId="13" fillId="2" borderId="18" xfId="21" applyFill="1" applyBorder="1" applyAlignment="1">
      <alignment horizontal="centerContinuous"/>
    </xf>
    <xf numFmtId="0" fontId="13" fillId="2" borderId="19" xfId="21" applyFill="1" applyBorder="1" applyAlignment="1">
      <alignment horizontal="centerContinuous"/>
    </xf>
    <xf numFmtId="0" fontId="37" fillId="2" borderId="17" xfId="21" applyFont="1" applyFill="1" applyBorder="1" applyAlignment="1">
      <alignment horizontal="centerContinuous"/>
    </xf>
    <xf numFmtId="0" fontId="13" fillId="2" borderId="17" xfId="21" applyFill="1" applyBorder="1" applyAlignment="1">
      <alignment horizontal="centerContinuous"/>
    </xf>
    <xf numFmtId="2" fontId="13" fillId="12" borderId="0" xfId="21" applyNumberFormat="1" applyFill="1"/>
    <xf numFmtId="0" fontId="13" fillId="2" borderId="20" xfId="21" applyFill="1" applyBorder="1"/>
    <xf numFmtId="0" fontId="13" fillId="2" borderId="21" xfId="21" applyFill="1" applyBorder="1"/>
    <xf numFmtId="4" fontId="13" fillId="2" borderId="21" xfId="21" applyNumberFormat="1" applyFill="1" applyBorder="1"/>
    <xf numFmtId="0" fontId="13" fillId="2" borderId="22" xfId="21" applyFill="1" applyBorder="1"/>
    <xf numFmtId="0" fontId="13" fillId="2" borderId="23" xfId="21" applyFill="1" applyBorder="1"/>
    <xf numFmtId="0" fontId="37" fillId="2" borderId="21" xfId="21" applyFont="1" applyFill="1" applyBorder="1" applyAlignment="1">
      <alignment horizontal="centerContinuous"/>
    </xf>
    <xf numFmtId="4" fontId="13" fillId="2" borderId="24" xfId="21" applyNumberFormat="1" applyFill="1" applyBorder="1" applyAlignment="1">
      <alignment horizontal="centerContinuous"/>
    </xf>
    <xf numFmtId="4" fontId="13" fillId="2" borderId="25" xfId="21" applyNumberFormat="1" applyFill="1" applyBorder="1" applyAlignment="1">
      <alignment horizontal="centerContinuous"/>
    </xf>
    <xf numFmtId="0" fontId="37" fillId="2" borderId="21" xfId="21" applyFont="1" applyFill="1" applyBorder="1" applyAlignment="1">
      <alignment horizontal="left"/>
    </xf>
    <xf numFmtId="0" fontId="13" fillId="2" borderId="26" xfId="21" applyFill="1" applyBorder="1"/>
    <xf numFmtId="0" fontId="13" fillId="2" borderId="27" xfId="21" applyFill="1" applyBorder="1"/>
    <xf numFmtId="0" fontId="13" fillId="2" borderId="28" xfId="21" applyFill="1" applyBorder="1"/>
    <xf numFmtId="4" fontId="13" fillId="2" borderId="28" xfId="21" applyNumberFormat="1" applyFill="1" applyBorder="1"/>
    <xf numFmtId="4" fontId="13" fillId="2" borderId="29" xfId="21" applyNumberFormat="1" applyFill="1" applyBorder="1"/>
    <xf numFmtId="4" fontId="13" fillId="2" borderId="30" xfId="21" applyNumberFormat="1" applyFill="1" applyBorder="1"/>
    <xf numFmtId="0" fontId="39" fillId="2" borderId="0" xfId="21" quotePrefix="1" applyFont="1" applyFill="1" applyAlignment="1">
      <alignment horizontal="left"/>
    </xf>
    <xf numFmtId="0" fontId="13" fillId="2" borderId="0" xfId="21" quotePrefix="1" applyFill="1" applyAlignment="1">
      <alignment horizontal="left"/>
    </xf>
    <xf numFmtId="2" fontId="13" fillId="0" borderId="0" xfId="21" applyNumberFormat="1" applyFill="1"/>
    <xf numFmtId="0" fontId="22" fillId="2" borderId="0" xfId="21" applyFont="1" applyFill="1"/>
    <xf numFmtId="169" fontId="13" fillId="2" borderId="0" xfId="21" applyNumberFormat="1" applyFill="1"/>
    <xf numFmtId="170" fontId="13" fillId="2" borderId="0" xfId="21" applyNumberFormat="1" applyFill="1"/>
    <xf numFmtId="9" fontId="13" fillId="12" borderId="0" xfId="25" applyFont="1" applyFill="1"/>
    <xf numFmtId="0" fontId="44" fillId="0" borderId="0" xfId="21" applyFont="1" applyAlignment="1">
      <alignment wrapText="1"/>
    </xf>
    <xf numFmtId="43" fontId="0" fillId="0" borderId="0" xfId="17" applyFont="1" applyAlignment="1">
      <alignment vertical="center"/>
    </xf>
    <xf numFmtId="43" fontId="0" fillId="0" borderId="0" xfId="17" applyNumberFormat="1" applyFont="1" applyAlignment="1">
      <alignment vertical="center"/>
    </xf>
    <xf numFmtId="0" fontId="24" fillId="2" borderId="2" xfId="0" applyFont="1" applyFill="1" applyBorder="1" applyAlignment="1" applyProtection="1">
      <alignment vertical="center"/>
      <protection hidden="1"/>
    </xf>
    <xf numFmtId="4" fontId="24" fillId="2" borderId="2" xfId="0" applyNumberFormat="1" applyFont="1" applyFill="1" applyBorder="1" applyAlignment="1" applyProtection="1">
      <alignment vertical="center"/>
      <protection hidden="1"/>
    </xf>
    <xf numFmtId="0" fontId="24" fillId="20" borderId="2" xfId="0" applyFont="1" applyFill="1" applyBorder="1" applyAlignment="1" applyProtection="1">
      <alignment horizontal="center" vertical="center"/>
      <protection hidden="1"/>
    </xf>
    <xf numFmtId="43" fontId="21" fillId="0" borderId="0" xfId="17" applyFont="1"/>
    <xf numFmtId="0" fontId="0" fillId="0" borderId="0" xfId="0" applyAlignment="1">
      <alignment vertical="top" wrapText="1"/>
    </xf>
    <xf numFmtId="17" fontId="47" fillId="6" borderId="39" xfId="0" applyNumberFormat="1" applyFont="1" applyFill="1" applyBorder="1" applyAlignment="1" applyProtection="1">
      <alignment horizontal="center" vertical="center" wrapText="1"/>
      <protection hidden="1"/>
    </xf>
    <xf numFmtId="166" fontId="49" fillId="2" borderId="0" xfId="24" applyFont="1" applyFill="1" applyAlignment="1" applyProtection="1">
      <alignment horizontal="left" vertical="center"/>
      <protection hidden="1"/>
    </xf>
    <xf numFmtId="43" fontId="25" fillId="12" borderId="52" xfId="17" applyFont="1" applyFill="1" applyBorder="1" applyAlignment="1" applyProtection="1">
      <alignment horizontal="right" vertical="center" wrapText="1"/>
      <protection hidden="1"/>
    </xf>
    <xf numFmtId="0" fontId="24" fillId="0" borderId="0" xfId="0" applyFont="1" applyAlignment="1" applyProtection="1">
      <alignment vertical="center"/>
      <protection hidden="1"/>
    </xf>
    <xf numFmtId="0" fontId="53" fillId="0" borderId="0" xfId="0" applyFont="1" applyFill="1" applyBorder="1" applyAlignment="1" applyProtection="1">
      <alignment horizontal="left" vertical="center" wrapText="1"/>
      <protection hidden="1"/>
    </xf>
    <xf numFmtId="9" fontId="46" fillId="5" borderId="52" xfId="25" quotePrefix="1" applyFont="1" applyFill="1" applyBorder="1" applyAlignment="1" applyProtection="1">
      <alignment horizontal="center" vertical="center" wrapText="1"/>
      <protection hidden="1"/>
    </xf>
    <xf numFmtId="0" fontId="13" fillId="0" borderId="0" xfId="0" applyFont="1" applyAlignment="1" applyProtection="1">
      <alignment vertical="center"/>
      <protection hidden="1"/>
    </xf>
    <xf numFmtId="0" fontId="24" fillId="14" borderId="32" xfId="0" quotePrefix="1" applyFont="1" applyFill="1" applyBorder="1" applyAlignment="1" applyProtection="1">
      <alignment horizontal="left" vertical="center"/>
      <protection hidden="1"/>
    </xf>
    <xf numFmtId="4" fontId="24" fillId="14" borderId="31" xfId="0" applyNumberFormat="1" applyFont="1" applyFill="1" applyBorder="1" applyAlignment="1" applyProtection="1">
      <alignment vertical="center"/>
      <protection hidden="1"/>
    </xf>
    <xf numFmtId="4" fontId="24" fillId="14" borderId="36" xfId="0" applyNumberFormat="1" applyFont="1" applyFill="1" applyBorder="1" applyAlignment="1" applyProtection="1">
      <alignment vertical="center"/>
      <protection hidden="1"/>
    </xf>
    <xf numFmtId="0" fontId="24" fillId="14" borderId="32" xfId="0" applyFont="1" applyFill="1" applyBorder="1" applyAlignment="1" applyProtection="1">
      <alignment horizontal="left" vertical="center"/>
      <protection hidden="1"/>
    </xf>
    <xf numFmtId="0" fontId="24" fillId="14" borderId="33" xfId="0" applyFont="1" applyFill="1" applyBorder="1" applyAlignment="1" applyProtection="1">
      <alignment horizontal="left" vertical="center" wrapText="1"/>
      <protection hidden="1"/>
    </xf>
    <xf numFmtId="4" fontId="24" fillId="14" borderId="31" xfId="0" applyNumberFormat="1" applyFont="1" applyFill="1" applyBorder="1" applyAlignment="1" applyProtection="1">
      <alignment horizontal="right" vertical="center"/>
      <protection hidden="1"/>
    </xf>
    <xf numFmtId="4" fontId="24" fillId="14" borderId="36" xfId="0" applyNumberFormat="1" applyFont="1" applyFill="1" applyBorder="1" applyAlignment="1" applyProtection="1">
      <alignment horizontal="right" vertical="center"/>
      <protection hidden="1"/>
    </xf>
    <xf numFmtId="4" fontId="25" fillId="14" borderId="31" xfId="0" applyNumberFormat="1" applyFont="1" applyFill="1" applyBorder="1" applyAlignment="1" applyProtection="1">
      <alignment vertical="center"/>
      <protection hidden="1"/>
    </xf>
    <xf numFmtId="4" fontId="25" fillId="14" borderId="36" xfId="0" applyNumberFormat="1" applyFont="1" applyFill="1" applyBorder="1" applyAlignment="1" applyProtection="1">
      <alignment vertical="center"/>
      <protection hidden="1"/>
    </xf>
    <xf numFmtId="2" fontId="48" fillId="0" borderId="0" xfId="0" applyNumberFormat="1" applyFont="1" applyFill="1" applyBorder="1" applyAlignment="1" applyProtection="1">
      <alignment horizontal="right" vertical="center" wrapText="1"/>
      <protection hidden="1"/>
    </xf>
    <xf numFmtId="0" fontId="51" fillId="6" borderId="62" xfId="0" applyFont="1" applyFill="1" applyBorder="1" applyAlignment="1" applyProtection="1">
      <alignment horizontal="center" vertical="center" wrapText="1"/>
      <protection hidden="1"/>
    </xf>
    <xf numFmtId="0" fontId="51" fillId="6" borderId="63" xfId="0" applyFont="1" applyFill="1" applyBorder="1" applyAlignment="1" applyProtection="1">
      <alignment horizontal="center" vertical="center"/>
      <protection hidden="1"/>
    </xf>
    <xf numFmtId="0" fontId="46" fillId="5" borderId="45" xfId="0" applyFont="1" applyFill="1" applyBorder="1" applyAlignment="1" applyProtection="1">
      <alignment horizontal="center" vertical="center" wrapText="1"/>
      <protection hidden="1"/>
    </xf>
    <xf numFmtId="15" fontId="57" fillId="5" borderId="47" xfId="0" applyNumberFormat="1" applyFont="1" applyFill="1" applyBorder="1" applyAlignment="1" applyProtection="1">
      <alignment horizontal="center" vertical="center" wrapText="1"/>
      <protection hidden="1"/>
    </xf>
    <xf numFmtId="43" fontId="25" fillId="12" borderId="45" xfId="17" applyFont="1" applyFill="1" applyBorder="1" applyAlignment="1" applyProtection="1">
      <alignment horizontal="center" vertical="center" wrapText="1"/>
      <protection hidden="1"/>
    </xf>
    <xf numFmtId="43" fontId="26" fillId="0" borderId="45" xfId="17" applyFont="1" applyFill="1" applyBorder="1" applyAlignment="1" applyProtection="1">
      <alignment vertical="center" wrapText="1"/>
      <protection hidden="1"/>
    </xf>
    <xf numFmtId="0" fontId="53" fillId="0" borderId="0" xfId="0" applyFont="1" applyBorder="1" applyAlignment="1" applyProtection="1">
      <alignment vertical="top" wrapText="1"/>
      <protection hidden="1"/>
    </xf>
    <xf numFmtId="0" fontId="13" fillId="12" borderId="0" xfId="0" applyFont="1" applyFill="1" applyBorder="1" applyAlignment="1" applyProtection="1">
      <alignment vertical="center"/>
      <protection hidden="1"/>
    </xf>
    <xf numFmtId="0" fontId="13" fillId="0" borderId="0" xfId="0" applyFont="1" applyBorder="1" applyAlignment="1" applyProtection="1">
      <alignment vertical="center"/>
      <protection hidden="1"/>
    </xf>
    <xf numFmtId="0" fontId="53" fillId="0" borderId="0" xfId="0" applyFont="1" applyFill="1" applyBorder="1" applyAlignment="1" applyProtection="1">
      <alignment horizontal="justify" vertical="center" wrapText="1"/>
      <protection hidden="1"/>
    </xf>
    <xf numFmtId="0" fontId="39" fillId="0" borderId="0" xfId="0" applyFont="1" applyFill="1" applyBorder="1" applyAlignment="1" applyProtection="1">
      <alignment horizontal="left" vertical="center" wrapText="1"/>
      <protection hidden="1"/>
    </xf>
    <xf numFmtId="43" fontId="39" fillId="0" borderId="0" xfId="17" applyFont="1" applyFill="1" applyBorder="1" applyAlignment="1" applyProtection="1">
      <alignment horizontal="right" vertical="center" wrapText="1"/>
      <protection hidden="1"/>
    </xf>
    <xf numFmtId="0" fontId="53" fillId="0" borderId="0" xfId="0" applyFont="1" applyFill="1" applyAlignment="1" applyProtection="1">
      <alignment horizontal="justify" vertical="center" wrapText="1"/>
      <protection hidden="1"/>
    </xf>
    <xf numFmtId="0" fontId="24" fillId="2" borderId="0" xfId="0" quotePrefix="1" applyFont="1" applyFill="1" applyBorder="1" applyAlignment="1" applyProtection="1">
      <alignment horizontal="left" vertical="center" wrapText="1"/>
      <protection hidden="1"/>
    </xf>
    <xf numFmtId="4" fontId="24" fillId="2" borderId="41" xfId="0" applyNumberFormat="1" applyFont="1" applyFill="1" applyBorder="1" applyAlignment="1" applyProtection="1">
      <alignment vertical="center"/>
      <protection hidden="1"/>
    </xf>
    <xf numFmtId="4" fontId="24" fillId="23" borderId="41" xfId="0" applyNumberFormat="1" applyFont="1" applyFill="1" applyBorder="1" applyAlignment="1" applyProtection="1">
      <alignment vertical="center"/>
      <protection hidden="1"/>
    </xf>
    <xf numFmtId="4" fontId="24" fillId="0" borderId="41" xfId="0" applyNumberFormat="1" applyFont="1" applyFill="1" applyBorder="1" applyAlignment="1" applyProtection="1">
      <alignment horizontal="right" vertical="center"/>
      <protection hidden="1"/>
    </xf>
    <xf numFmtId="4" fontId="24" fillId="0" borderId="41" xfId="0" applyNumberFormat="1" applyFont="1" applyFill="1" applyBorder="1" applyAlignment="1" applyProtection="1">
      <alignment vertical="center"/>
      <protection hidden="1"/>
    </xf>
    <xf numFmtId="4" fontId="49" fillId="5" borderId="41" xfId="0" applyNumberFormat="1" applyFont="1" applyFill="1" applyBorder="1" applyAlignment="1" applyProtection="1">
      <alignment vertical="center"/>
      <protection hidden="1"/>
    </xf>
    <xf numFmtId="17" fontId="47" fillId="6" borderId="54" xfId="0" applyNumberFormat="1" applyFont="1" applyFill="1" applyBorder="1" applyAlignment="1" applyProtection="1">
      <alignment horizontal="center" vertical="center" wrapText="1"/>
      <protection hidden="1"/>
    </xf>
    <xf numFmtId="17" fontId="47" fillId="6" borderId="55" xfId="0" applyNumberFormat="1" applyFont="1" applyFill="1" applyBorder="1" applyAlignment="1" applyProtection="1">
      <alignment horizontal="center" vertical="center" wrapText="1"/>
      <protection hidden="1"/>
    </xf>
    <xf numFmtId="0" fontId="24" fillId="2" borderId="42" xfId="0" quotePrefix="1" applyFont="1" applyFill="1" applyBorder="1" applyAlignment="1" applyProtection="1">
      <alignment horizontal="left" vertical="center"/>
      <protection hidden="1"/>
    </xf>
    <xf numFmtId="4" fontId="24" fillId="23" borderId="45" xfId="0" applyNumberFormat="1" applyFont="1" applyFill="1" applyBorder="1" applyAlignment="1" applyProtection="1">
      <alignment vertical="center"/>
      <protection hidden="1"/>
    </xf>
    <xf numFmtId="4" fontId="24" fillId="2" borderId="45" xfId="0" applyNumberFormat="1" applyFont="1" applyFill="1" applyBorder="1" applyAlignment="1" applyProtection="1">
      <alignment vertical="center"/>
      <protection hidden="1"/>
    </xf>
    <xf numFmtId="0" fontId="24" fillId="2" borderId="42" xfId="0" applyFont="1" applyFill="1" applyBorder="1" applyAlignment="1" applyProtection="1">
      <alignment horizontal="left" vertical="center"/>
      <protection hidden="1"/>
    </xf>
    <xf numFmtId="0" fontId="49" fillId="5" borderId="42" xfId="0" quotePrefix="1" applyFont="1" applyFill="1" applyBorder="1" applyAlignment="1" applyProtection="1">
      <alignment horizontal="left" vertical="center" wrapText="1"/>
      <protection hidden="1"/>
    </xf>
    <xf numFmtId="4" fontId="49" fillId="5" borderId="45" xfId="0" applyNumberFormat="1" applyFont="1" applyFill="1" applyBorder="1" applyAlignment="1" applyProtection="1">
      <alignment vertical="center"/>
      <protection hidden="1"/>
    </xf>
    <xf numFmtId="0" fontId="24" fillId="2" borderId="43" xfId="0" quotePrefix="1" applyFont="1" applyFill="1" applyBorder="1" applyAlignment="1" applyProtection="1">
      <alignment horizontal="left" vertical="center" wrapText="1"/>
      <protection hidden="1"/>
    </xf>
    <xf numFmtId="4" fontId="24" fillId="2" borderId="44" xfId="0" applyNumberFormat="1" applyFont="1" applyFill="1" applyBorder="1" applyAlignment="1" applyProtection="1">
      <alignment horizontal="right" vertical="center"/>
      <protection hidden="1"/>
    </xf>
    <xf numFmtId="4" fontId="24" fillId="2" borderId="47" xfId="0" applyNumberFormat="1" applyFont="1" applyFill="1" applyBorder="1" applyAlignment="1" applyProtection="1">
      <alignment horizontal="right" vertical="center"/>
      <protection hidden="1"/>
    </xf>
    <xf numFmtId="0" fontId="45" fillId="2" borderId="0" xfId="0" applyNumberFormat="1" applyFont="1" applyFill="1" applyAlignment="1" applyProtection="1">
      <alignment horizontal="justify" vertical="center" wrapText="1"/>
      <protection hidden="1"/>
    </xf>
    <xf numFmtId="0" fontId="49" fillId="5" borderId="42" xfId="0" quotePrefix="1" applyFont="1" applyFill="1" applyBorder="1" applyAlignment="1" applyProtection="1">
      <alignment horizontal="left" vertical="center"/>
      <protection hidden="1"/>
    </xf>
    <xf numFmtId="4" fontId="25" fillId="2" borderId="41" xfId="0" applyNumberFormat="1" applyFont="1" applyFill="1" applyBorder="1" applyAlignment="1" applyProtection="1">
      <alignment vertical="center"/>
      <protection hidden="1"/>
    </xf>
    <xf numFmtId="4" fontId="25" fillId="2" borderId="45" xfId="0" applyNumberFormat="1" applyFont="1" applyFill="1" applyBorder="1" applyAlignment="1" applyProtection="1">
      <alignment vertical="center"/>
      <protection hidden="1"/>
    </xf>
    <xf numFmtId="4" fontId="49" fillId="5" borderId="41" xfId="0" applyNumberFormat="1" applyFont="1" applyFill="1" applyBorder="1" applyAlignment="1" applyProtection="1">
      <alignment horizontal="right" vertical="center"/>
      <protection hidden="1"/>
    </xf>
    <xf numFmtId="4" fontId="49" fillId="5" borderId="45" xfId="0" applyNumberFormat="1" applyFont="1" applyFill="1" applyBorder="1" applyAlignment="1" applyProtection="1">
      <alignment horizontal="right" vertical="center"/>
      <protection hidden="1"/>
    </xf>
    <xf numFmtId="0" fontId="46" fillId="15" borderId="53" xfId="0" applyFont="1" applyFill="1" applyBorder="1" applyAlignment="1" applyProtection="1">
      <alignment horizontal="center" vertical="center" wrapText="1"/>
      <protection hidden="1"/>
    </xf>
    <xf numFmtId="17" fontId="46" fillId="15" borderId="54" xfId="0" applyNumberFormat="1" applyFont="1" applyFill="1" applyBorder="1" applyAlignment="1" applyProtection="1">
      <alignment horizontal="center" vertical="center" wrapText="1"/>
      <protection hidden="1"/>
    </xf>
    <xf numFmtId="17" fontId="46" fillId="15" borderId="55" xfId="0" applyNumberFormat="1" applyFont="1" applyFill="1" applyBorder="1" applyAlignment="1" applyProtection="1">
      <alignment horizontal="center" vertical="center" wrapText="1"/>
      <protection hidden="1"/>
    </xf>
    <xf numFmtId="43" fontId="24" fillId="2" borderId="41" xfId="17" applyFont="1" applyFill="1" applyBorder="1" applyAlignment="1" applyProtection="1">
      <alignment horizontal="right" vertical="center"/>
      <protection hidden="1"/>
    </xf>
    <xf numFmtId="4" fontId="24" fillId="2" borderId="41" xfId="0" applyNumberFormat="1" applyFont="1" applyFill="1" applyBorder="1" applyAlignment="1" applyProtection="1">
      <alignment horizontal="right" vertical="center"/>
      <protection hidden="1"/>
    </xf>
    <xf numFmtId="0" fontId="25" fillId="2" borderId="42" xfId="0" applyFont="1" applyFill="1" applyBorder="1" applyAlignment="1" applyProtection="1">
      <alignment horizontal="left" vertical="center" wrapText="1"/>
      <protection hidden="1"/>
    </xf>
    <xf numFmtId="4" fontId="25" fillId="2" borderId="41" xfId="0" applyNumberFormat="1" applyFont="1" applyFill="1" applyBorder="1" applyAlignment="1" applyProtection="1">
      <alignment horizontal="right" vertical="center"/>
      <protection hidden="1"/>
    </xf>
    <xf numFmtId="4" fontId="24" fillId="12" borderId="41" xfId="0" applyNumberFormat="1" applyFont="1" applyFill="1" applyBorder="1" applyAlignment="1" applyProtection="1">
      <alignment horizontal="right" vertical="center"/>
      <protection hidden="1"/>
    </xf>
    <xf numFmtId="0" fontId="24" fillId="2" borderId="43" xfId="0" quotePrefix="1" applyFont="1" applyFill="1" applyBorder="1" applyAlignment="1" applyProtection="1">
      <alignment horizontal="left" vertical="center"/>
      <protection hidden="1"/>
    </xf>
    <xf numFmtId="0" fontId="53" fillId="0" borderId="0" xfId="0" applyFont="1" applyAlignment="1" applyProtection="1">
      <alignment horizontal="left" vertical="center"/>
      <protection hidden="1"/>
    </xf>
    <xf numFmtId="0" fontId="53" fillId="2" borderId="0" xfId="0" quotePrefix="1" applyFont="1" applyFill="1" applyBorder="1" applyAlignment="1" applyProtection="1">
      <alignment horizontal="left" vertical="center"/>
      <protection hidden="1"/>
    </xf>
    <xf numFmtId="0" fontId="13" fillId="12" borderId="0" xfId="0" applyFont="1" applyFill="1" applyBorder="1" applyAlignment="1" applyProtection="1">
      <alignment vertical="top"/>
      <protection hidden="1"/>
    </xf>
    <xf numFmtId="4" fontId="24" fillId="0" borderId="42" xfId="0" applyNumberFormat="1" applyFont="1" applyBorder="1" applyAlignment="1" applyProtection="1">
      <alignment vertical="center" wrapText="1"/>
      <protection hidden="1"/>
    </xf>
    <xf numFmtId="0" fontId="47" fillId="0" borderId="0" xfId="0" applyFont="1" applyAlignment="1" applyProtection="1">
      <alignment vertical="center"/>
      <protection hidden="1"/>
    </xf>
    <xf numFmtId="0" fontId="53" fillId="0" borderId="0" xfId="0" applyFont="1" applyBorder="1" applyAlignment="1" applyProtection="1">
      <alignment vertical="top"/>
      <protection hidden="1"/>
    </xf>
    <xf numFmtId="0" fontId="53" fillId="0" borderId="0" xfId="0" applyFont="1" applyBorder="1" applyAlignment="1" applyProtection="1">
      <alignment horizontal="left" vertical="top"/>
      <protection hidden="1"/>
    </xf>
    <xf numFmtId="37" fontId="24" fillId="12" borderId="3" xfId="23" quotePrefix="1" applyNumberFormat="1" applyFont="1" applyFill="1" applyBorder="1" applyAlignment="1" applyProtection="1">
      <alignment horizontal="left"/>
    </xf>
    <xf numFmtId="37" fontId="24" fillId="12" borderId="4" xfId="23" quotePrefix="1" applyNumberFormat="1" applyFont="1" applyFill="1" applyBorder="1" applyAlignment="1" applyProtection="1">
      <alignment horizontal="left"/>
    </xf>
    <xf numFmtId="37" fontId="24" fillId="12" borderId="12" xfId="23" applyNumberFormat="1" applyFont="1" applyFill="1" applyBorder="1" applyProtection="1"/>
    <xf numFmtId="37" fontId="24" fillId="12" borderId="4" xfId="23" applyNumberFormat="1" applyFont="1" applyFill="1" applyBorder="1" applyProtection="1"/>
    <xf numFmtId="37" fontId="24" fillId="12" borderId="12" xfId="23" applyNumberFormat="1" applyFont="1" applyFill="1" applyBorder="1" applyAlignment="1" applyProtection="1">
      <alignment horizontal="left" indent="1"/>
    </xf>
    <xf numFmtId="37" fontId="24" fillId="12" borderId="12" xfId="23" quotePrefix="1" applyNumberFormat="1" applyFont="1" applyFill="1" applyBorder="1" applyAlignment="1" applyProtection="1">
      <alignment horizontal="left"/>
    </xf>
    <xf numFmtId="37" fontId="24" fillId="12" borderId="3" xfId="23" applyNumberFormat="1" applyFont="1" applyFill="1" applyBorder="1" applyProtection="1"/>
    <xf numFmtId="37" fontId="24" fillId="12" borderId="15" xfId="23" applyNumberFormat="1" applyFont="1" applyFill="1" applyBorder="1" applyProtection="1"/>
    <xf numFmtId="4" fontId="13" fillId="26" borderId="0" xfId="21" applyNumberFormat="1" applyFill="1" applyBorder="1"/>
    <xf numFmtId="37" fontId="68" fillId="2" borderId="10" xfId="23" applyNumberFormat="1" applyFont="1" applyFill="1" applyBorder="1" applyAlignment="1" applyProtection="1">
      <alignment wrapText="1"/>
    </xf>
    <xf numFmtId="0" fontId="39" fillId="2" borderId="86" xfId="21" applyFont="1" applyFill="1" applyBorder="1" applyAlignment="1">
      <alignment horizontal="center"/>
    </xf>
    <xf numFmtId="0" fontId="13" fillId="2" borderId="87" xfId="21" applyFill="1" applyBorder="1"/>
    <xf numFmtId="0" fontId="39" fillId="2" borderId="87" xfId="21" applyFont="1" applyFill="1" applyBorder="1" applyAlignment="1">
      <alignment horizontal="center"/>
    </xf>
    <xf numFmtId="0" fontId="13" fillId="2" borderId="88" xfId="21" quotePrefix="1" applyFill="1" applyBorder="1" applyAlignment="1">
      <alignment horizontal="left"/>
    </xf>
    <xf numFmtId="37" fontId="67" fillId="25" borderId="3" xfId="23" applyNumberFormat="1" applyFont="1" applyFill="1" applyBorder="1" applyAlignment="1" applyProtection="1">
      <alignment vertical="center" wrapText="1"/>
    </xf>
    <xf numFmtId="37" fontId="67" fillId="25" borderId="4" xfId="23" applyNumberFormat="1" applyFont="1" applyFill="1" applyBorder="1" applyAlignment="1" applyProtection="1">
      <alignment vertical="center" wrapText="1"/>
    </xf>
    <xf numFmtId="37" fontId="67" fillId="25" borderId="12" xfId="23" applyNumberFormat="1" applyFont="1" applyFill="1" applyBorder="1" applyAlignment="1" applyProtection="1">
      <alignment vertical="center" wrapText="1"/>
    </xf>
    <xf numFmtId="49" fontId="68" fillId="25" borderId="16" xfId="21" applyNumberFormat="1" applyFont="1" applyFill="1" applyBorder="1" applyAlignment="1">
      <alignment horizontal="center" vertical="center" wrapText="1"/>
    </xf>
    <xf numFmtId="4" fontId="13" fillId="12" borderId="5" xfId="21" applyNumberFormat="1" applyFill="1" applyBorder="1"/>
    <xf numFmtId="4" fontId="13" fillId="12" borderId="6" xfId="21" applyNumberFormat="1" applyFill="1" applyBorder="1"/>
    <xf numFmtId="4" fontId="13" fillId="12" borderId="3" xfId="21" applyNumberFormat="1" applyFill="1" applyBorder="1"/>
    <xf numFmtId="4" fontId="13" fillId="12" borderId="7" xfId="21" applyNumberFormat="1" applyFill="1" applyBorder="1"/>
    <xf numFmtId="4" fontId="13" fillId="12" borderId="0" xfId="21" applyNumberFormat="1" applyFill="1" applyBorder="1"/>
    <xf numFmtId="4" fontId="13" fillId="12" borderId="4" xfId="21" applyNumberFormat="1" applyFill="1" applyBorder="1"/>
    <xf numFmtId="4" fontId="13" fillId="12" borderId="11" xfId="21" applyNumberFormat="1" applyFill="1" applyBorder="1"/>
    <xf numFmtId="4" fontId="13" fillId="12" borderId="13" xfId="21" applyNumberFormat="1" applyFill="1" applyBorder="1"/>
    <xf numFmtId="4" fontId="13" fillId="12" borderId="12" xfId="21" applyNumberFormat="1" applyFill="1" applyBorder="1"/>
    <xf numFmtId="165" fontId="13" fillId="12" borderId="13" xfId="21" applyNumberFormat="1" applyFill="1" applyBorder="1"/>
    <xf numFmtId="4" fontId="13" fillId="12" borderId="8" xfId="21" applyNumberFormat="1" applyFill="1" applyBorder="1"/>
    <xf numFmtId="4" fontId="13" fillId="12" borderId="9" xfId="21" applyNumberFormat="1" applyFill="1" applyBorder="1"/>
    <xf numFmtId="0" fontId="68" fillId="2" borderId="8" xfId="21" applyFont="1" applyFill="1" applyBorder="1" applyAlignment="1">
      <alignment horizontal="left" vertical="center"/>
    </xf>
    <xf numFmtId="0" fontId="68" fillId="0" borderId="9" xfId="21" applyFont="1" applyBorder="1" applyAlignment="1">
      <alignment vertical="center"/>
    </xf>
    <xf numFmtId="10" fontId="68" fillId="0" borderId="15" xfId="21" applyNumberFormat="1" applyFont="1" applyBorder="1" applyAlignment="1">
      <alignment vertical="center"/>
    </xf>
    <xf numFmtId="4" fontId="13" fillId="2" borderId="2" xfId="21" applyNumberFormat="1" applyFill="1" applyBorder="1"/>
    <xf numFmtId="4" fontId="13" fillId="2" borderId="91" xfId="21" applyNumberFormat="1" applyFill="1" applyBorder="1"/>
    <xf numFmtId="4" fontId="13" fillId="24" borderId="0" xfId="21" applyNumberFormat="1" applyFill="1" applyBorder="1"/>
    <xf numFmtId="2" fontId="13" fillId="24" borderId="0" xfId="21" applyNumberFormat="1" applyFill="1"/>
    <xf numFmtId="2" fontId="13" fillId="24" borderId="99" xfId="21" applyNumberFormat="1" applyFill="1" applyBorder="1"/>
    <xf numFmtId="4" fontId="24" fillId="0" borderId="45" xfId="0" applyNumberFormat="1" applyFont="1" applyFill="1" applyBorder="1" applyAlignment="1" applyProtection="1">
      <alignment horizontal="right" vertical="center"/>
      <protection hidden="1"/>
    </xf>
    <xf numFmtId="0" fontId="46" fillId="5" borderId="72" xfId="0" quotePrefix="1" applyFont="1" applyFill="1" applyBorder="1" applyAlignment="1" applyProtection="1">
      <alignment horizontal="center" vertical="center" wrapText="1"/>
      <protection hidden="1"/>
    </xf>
    <xf numFmtId="0" fontId="46" fillId="5" borderId="73" xfId="0" applyFont="1" applyFill="1" applyBorder="1" applyAlignment="1" applyProtection="1">
      <alignment horizontal="center" vertical="center" wrapText="1"/>
      <protection hidden="1"/>
    </xf>
    <xf numFmtId="0" fontId="71" fillId="0" borderId="0" xfId="0" applyFont="1"/>
    <xf numFmtId="0" fontId="46" fillId="5" borderId="102" xfId="0" quotePrefix="1" applyFont="1" applyFill="1" applyBorder="1" applyAlignment="1" applyProtection="1">
      <alignment horizontal="center" vertical="center" wrapText="1"/>
      <protection hidden="1"/>
    </xf>
    <xf numFmtId="43" fontId="24" fillId="12" borderId="52" xfId="17" applyFont="1" applyFill="1" applyBorder="1" applyAlignment="1" applyProtection="1">
      <alignment horizontal="right" vertical="center" wrapText="1"/>
      <protection hidden="1"/>
    </xf>
    <xf numFmtId="43" fontId="24" fillId="12" borderId="48" xfId="17" applyFont="1" applyFill="1" applyBorder="1" applyAlignment="1" applyProtection="1">
      <alignment horizontal="right" vertical="center" wrapText="1"/>
      <protection hidden="1"/>
    </xf>
    <xf numFmtId="43" fontId="24" fillId="0" borderId="41" xfId="17" applyNumberFormat="1" applyFont="1" applyFill="1" applyBorder="1" applyAlignment="1" applyProtection="1">
      <alignment horizontal="right" vertical="center" wrapText="1"/>
      <protection hidden="1"/>
    </xf>
    <xf numFmtId="43" fontId="24" fillId="0" borderId="45" xfId="17" applyNumberFormat="1" applyFont="1" applyFill="1" applyBorder="1" applyAlignment="1" applyProtection="1">
      <alignment horizontal="right" vertical="center" wrapText="1"/>
      <protection hidden="1"/>
    </xf>
    <xf numFmtId="43" fontId="24" fillId="0" borderId="41" xfId="17" applyFont="1" applyFill="1" applyBorder="1" applyAlignment="1" applyProtection="1">
      <alignment horizontal="right" vertical="center" wrapText="1"/>
      <protection hidden="1"/>
    </xf>
    <xf numFmtId="43" fontId="24" fillId="0" borderId="45" xfId="17" applyFont="1" applyFill="1" applyBorder="1" applyAlignment="1" applyProtection="1">
      <alignment horizontal="right" vertical="center" wrapText="1"/>
      <protection hidden="1"/>
    </xf>
    <xf numFmtId="164" fontId="24" fillId="0" borderId="41" xfId="17" applyNumberFormat="1" applyFont="1" applyFill="1" applyBorder="1" applyAlignment="1" applyProtection="1">
      <alignment horizontal="right" vertical="center" wrapText="1"/>
      <protection hidden="1"/>
    </xf>
    <xf numFmtId="164" fontId="24" fillId="0" borderId="45" xfId="17" applyNumberFormat="1" applyFont="1" applyFill="1" applyBorder="1" applyAlignment="1" applyProtection="1">
      <alignment horizontal="right" vertical="center" wrapText="1"/>
      <protection hidden="1"/>
    </xf>
    <xf numFmtId="2" fontId="24" fillId="0" borderId="44" xfId="17" applyNumberFormat="1" applyFont="1" applyFill="1" applyBorder="1" applyAlignment="1" applyProtection="1">
      <alignment horizontal="right" vertical="center" wrapText="1"/>
      <protection hidden="1"/>
    </xf>
    <xf numFmtId="2" fontId="24" fillId="0" borderId="47" xfId="17" applyNumberFormat="1" applyFont="1" applyFill="1" applyBorder="1" applyAlignment="1" applyProtection="1">
      <alignment horizontal="right" vertical="center" wrapText="1"/>
      <protection hidden="1"/>
    </xf>
    <xf numFmtId="43" fontId="24" fillId="0" borderId="44" xfId="17" applyFont="1" applyFill="1" applyBorder="1" applyAlignment="1" applyProtection="1">
      <alignment horizontal="right" vertical="center" wrapText="1"/>
      <protection hidden="1"/>
    </xf>
    <xf numFmtId="43" fontId="24" fillId="0" borderId="47" xfId="17" applyFont="1" applyFill="1" applyBorder="1" applyAlignment="1" applyProtection="1">
      <alignment horizontal="right" vertical="center" wrapText="1"/>
      <protection hidden="1"/>
    </xf>
    <xf numFmtId="43" fontId="25" fillId="13" borderId="41" xfId="17" applyFont="1" applyFill="1" applyBorder="1" applyAlignment="1" applyProtection="1">
      <alignment horizontal="center" vertical="center" wrapText="1"/>
      <protection hidden="1"/>
    </xf>
    <xf numFmtId="43" fontId="24" fillId="12" borderId="103" xfId="17" applyFont="1" applyFill="1" applyBorder="1" applyAlignment="1" applyProtection="1">
      <alignment horizontal="right" vertical="center" wrapText="1"/>
      <protection hidden="1"/>
    </xf>
    <xf numFmtId="43" fontId="0" fillId="0" borderId="0" xfId="0" applyNumberFormat="1"/>
    <xf numFmtId="43" fontId="74" fillId="0" borderId="41" xfId="17" applyFont="1" applyFill="1" applyBorder="1" applyAlignment="1" applyProtection="1">
      <alignment horizontal="right" vertical="center" wrapText="1"/>
      <protection hidden="1"/>
    </xf>
    <xf numFmtId="4" fontId="50" fillId="2" borderId="0" xfId="0" applyNumberFormat="1" applyFont="1" applyFill="1" applyAlignment="1" applyProtection="1">
      <alignment vertical="center"/>
      <protection hidden="1"/>
    </xf>
    <xf numFmtId="43" fontId="25" fillId="0" borderId="57" xfId="17" applyNumberFormat="1" applyFont="1" applyFill="1" applyBorder="1" applyAlignment="1" applyProtection="1">
      <alignment horizontal="center" vertical="center" wrapText="1"/>
      <protection hidden="1"/>
    </xf>
    <xf numFmtId="4" fontId="25" fillId="0" borderId="41" xfId="0" applyNumberFormat="1" applyFont="1" applyFill="1" applyBorder="1" applyAlignment="1" applyProtection="1">
      <alignment horizontal="right" vertical="center"/>
      <protection hidden="1"/>
    </xf>
    <xf numFmtId="4" fontId="25" fillId="0" borderId="45" xfId="0" applyNumberFormat="1" applyFont="1" applyFill="1" applyBorder="1" applyAlignment="1" applyProtection="1">
      <alignment horizontal="right" vertical="center"/>
      <protection hidden="1"/>
    </xf>
    <xf numFmtId="43" fontId="25" fillId="0" borderId="49" xfId="17" applyNumberFormat="1" applyFont="1" applyFill="1" applyBorder="1" applyAlignment="1" applyProtection="1">
      <alignment horizontal="center" vertical="center" wrapText="1"/>
      <protection hidden="1"/>
    </xf>
    <xf numFmtId="171" fontId="25" fillId="12" borderId="48" xfId="17" applyNumberFormat="1" applyFont="1" applyFill="1" applyBorder="1" applyAlignment="1" applyProtection="1">
      <alignment horizontal="center" vertical="center" wrapText="1"/>
      <protection hidden="1"/>
    </xf>
    <xf numFmtId="0" fontId="53" fillId="0" borderId="0" xfId="0" applyFont="1" applyBorder="1" applyAlignment="1" applyProtection="1">
      <alignment horizontal="justify" vertical="top" wrapText="1"/>
      <protection hidden="1"/>
    </xf>
    <xf numFmtId="0" fontId="53" fillId="0" borderId="0" xfId="0" applyFont="1" applyBorder="1" applyAlignment="1" applyProtection="1">
      <alignment horizontal="left" vertical="top" wrapText="1"/>
      <protection hidden="1"/>
    </xf>
    <xf numFmtId="0" fontId="46" fillId="5" borderId="72" xfId="0" quotePrefix="1" applyFont="1" applyFill="1" applyBorder="1" applyAlignment="1" applyProtection="1">
      <alignment horizontal="center" vertical="center" wrapText="1"/>
      <protection hidden="1"/>
    </xf>
    <xf numFmtId="0" fontId="46" fillId="5" borderId="72" xfId="0" quotePrefix="1" applyFont="1" applyFill="1" applyBorder="1" applyAlignment="1" applyProtection="1">
      <alignment horizontal="center" vertical="center" wrapText="1"/>
      <protection hidden="1"/>
    </xf>
    <xf numFmtId="0" fontId="72" fillId="0" borderId="0" xfId="0" applyFont="1" applyFill="1" applyBorder="1" applyAlignment="1" applyProtection="1">
      <alignment horizontal="left" vertical="center" wrapText="1"/>
      <protection hidden="1"/>
    </xf>
    <xf numFmtId="0" fontId="25" fillId="0" borderId="0" xfId="0" applyFont="1" applyFill="1" applyBorder="1" applyAlignment="1" applyProtection="1">
      <alignment horizontal="left" vertical="center" wrapText="1"/>
      <protection hidden="1"/>
    </xf>
    <xf numFmtId="0" fontId="46" fillId="5" borderId="104" xfId="0" quotePrefix="1" applyFont="1" applyFill="1" applyBorder="1" applyAlignment="1" applyProtection="1">
      <alignment horizontal="center" vertical="center" wrapText="1"/>
      <protection hidden="1"/>
    </xf>
    <xf numFmtId="43" fontId="24" fillId="12" borderId="68" xfId="17" applyFont="1" applyFill="1" applyBorder="1" applyAlignment="1" applyProtection="1">
      <alignment horizontal="right" vertical="center" wrapText="1"/>
      <protection hidden="1"/>
    </xf>
    <xf numFmtId="172" fontId="24" fillId="0" borderId="41" xfId="17" applyNumberFormat="1" applyFont="1" applyFill="1" applyBorder="1" applyAlignment="1" applyProtection="1">
      <alignment horizontal="right" vertical="center" wrapText="1"/>
      <protection hidden="1"/>
    </xf>
    <xf numFmtId="172" fontId="24" fillId="0" borderId="45" xfId="17" applyNumberFormat="1" applyFont="1" applyFill="1" applyBorder="1" applyAlignment="1" applyProtection="1">
      <alignment horizontal="right" vertical="center" wrapText="1"/>
      <protection hidden="1"/>
    </xf>
    <xf numFmtId="43" fontId="24" fillId="12" borderId="0" xfId="17" applyFont="1" applyFill="1" applyBorder="1" applyAlignment="1" applyProtection="1">
      <alignment horizontal="right" vertical="center" wrapText="1"/>
      <protection hidden="1"/>
    </xf>
    <xf numFmtId="9" fontId="75" fillId="0" borderId="0" xfId="0" applyNumberFormat="1" applyFont="1"/>
    <xf numFmtId="43" fontId="25" fillId="12" borderId="45" xfId="17" applyFont="1" applyFill="1" applyBorder="1" applyAlignment="1" applyProtection="1">
      <alignment horizontal="right" vertical="center" wrapText="1"/>
      <protection hidden="1"/>
    </xf>
    <xf numFmtId="2" fontId="25" fillId="0" borderId="47" xfId="0" applyNumberFormat="1" applyFont="1" applyFill="1" applyBorder="1" applyAlignment="1" applyProtection="1">
      <alignment horizontal="right" vertical="center" wrapText="1"/>
      <protection hidden="1"/>
    </xf>
    <xf numFmtId="0" fontId="46" fillId="5" borderId="72" xfId="0" quotePrefix="1" applyFont="1" applyFill="1" applyBorder="1" applyAlignment="1" applyProtection="1">
      <alignment horizontal="center" vertical="center" wrapText="1"/>
      <protection hidden="1"/>
    </xf>
    <xf numFmtId="0" fontId="47" fillId="0" borderId="0" xfId="0" applyFont="1" applyFill="1" applyAlignment="1" applyProtection="1">
      <alignment vertical="center"/>
      <protection hidden="1"/>
    </xf>
    <xf numFmtId="4" fontId="47" fillId="0" borderId="0" xfId="0" applyNumberFormat="1" applyFont="1" applyFill="1" applyBorder="1" applyAlignment="1" applyProtection="1">
      <alignment horizontal="right" vertical="center"/>
      <protection hidden="1"/>
    </xf>
    <xf numFmtId="37" fontId="67" fillId="24" borderId="3" xfId="23" applyNumberFormat="1" applyFont="1" applyFill="1" applyBorder="1" applyAlignment="1" applyProtection="1">
      <alignment vertical="center" wrapText="1"/>
    </xf>
    <xf numFmtId="37" fontId="67" fillId="24" borderId="4" xfId="23" applyNumberFormat="1" applyFont="1" applyFill="1" applyBorder="1" applyAlignment="1" applyProtection="1">
      <alignment vertical="center" wrapText="1"/>
    </xf>
    <xf numFmtId="37" fontId="67" fillId="24" borderId="12" xfId="23" applyNumberFormat="1" applyFont="1" applyFill="1" applyBorder="1" applyAlignment="1" applyProtection="1">
      <alignment vertical="center" wrapText="1"/>
    </xf>
    <xf numFmtId="49" fontId="68" fillId="24" borderId="16" xfId="21" applyNumberFormat="1" applyFont="1" applyFill="1" applyBorder="1" applyAlignment="1">
      <alignment horizontal="center" vertical="center" wrapText="1"/>
    </xf>
    <xf numFmtId="43" fontId="0" fillId="14" borderId="2" xfId="17" applyFont="1" applyFill="1" applyBorder="1" applyAlignment="1">
      <alignment horizontal="center" vertical="center"/>
    </xf>
    <xf numFmtId="43" fontId="13" fillId="14" borderId="2" xfId="17" applyFont="1" applyFill="1" applyBorder="1" applyAlignment="1">
      <alignment horizontal="center" vertical="center"/>
    </xf>
    <xf numFmtId="43" fontId="25" fillId="0" borderId="41" xfId="17" applyFont="1" applyFill="1" applyBorder="1" applyAlignment="1" applyProtection="1">
      <alignment horizontal="center" vertical="center" wrapText="1"/>
      <protection hidden="1"/>
    </xf>
    <xf numFmtId="43" fontId="25" fillId="0" borderId="41" xfId="17" applyNumberFormat="1" applyFont="1" applyFill="1" applyBorder="1" applyAlignment="1" applyProtection="1">
      <alignment vertical="center" wrapText="1"/>
      <protection hidden="1"/>
    </xf>
    <xf numFmtId="4" fontId="24" fillId="27" borderId="41" xfId="0" applyNumberFormat="1" applyFont="1" applyFill="1" applyBorder="1" applyAlignment="1" applyProtection="1">
      <alignment vertical="center"/>
      <protection hidden="1"/>
    </xf>
    <xf numFmtId="173" fontId="21" fillId="0" borderId="0" xfId="0" applyNumberFormat="1" applyFont="1" applyAlignment="1" applyProtection="1">
      <alignment vertical="center"/>
      <protection hidden="1"/>
    </xf>
    <xf numFmtId="0" fontId="39" fillId="0" borderId="0" xfId="0" applyFont="1" applyAlignment="1">
      <alignment horizontal="right" vertical="center"/>
    </xf>
    <xf numFmtId="0" fontId="68" fillId="0" borderId="0" xfId="0" applyFont="1" applyAlignment="1">
      <alignment horizontal="right" vertical="center"/>
    </xf>
    <xf numFmtId="43" fontId="37" fillId="0" borderId="0" xfId="17" applyFont="1" applyFill="1" applyBorder="1" applyAlignment="1">
      <alignment horizontal="center" vertical="center"/>
    </xf>
    <xf numFmtId="43" fontId="0" fillId="0" borderId="0" xfId="17" applyFont="1" applyBorder="1" applyAlignment="1">
      <alignment horizontal="center" vertical="center"/>
    </xf>
    <xf numFmtId="0" fontId="78" fillId="2" borderId="0" xfId="0" quotePrefix="1" applyFont="1" applyFill="1" applyBorder="1" applyAlignment="1" applyProtection="1">
      <alignment horizontal="left" vertical="center"/>
      <protection hidden="1"/>
    </xf>
    <xf numFmtId="166" fontId="49" fillId="2" borderId="0" xfId="24" applyFont="1" applyFill="1" applyAlignment="1" applyProtection="1">
      <alignment horizontal="center" vertical="center"/>
      <protection hidden="1"/>
    </xf>
    <xf numFmtId="0" fontId="54" fillId="18" borderId="2" xfId="0" applyFont="1" applyFill="1" applyBorder="1" applyAlignment="1">
      <alignment horizontal="center" vertical="center"/>
    </xf>
    <xf numFmtId="0" fontId="55" fillId="18" borderId="2" xfId="0" applyFont="1" applyFill="1" applyBorder="1" applyAlignment="1">
      <alignment horizontal="center" vertical="center"/>
    </xf>
    <xf numFmtId="10" fontId="37" fillId="14" borderId="0" xfId="0" applyNumberFormat="1" applyFont="1" applyFill="1" applyAlignment="1">
      <alignment vertical="center"/>
    </xf>
    <xf numFmtId="0" fontId="22" fillId="0" borderId="0" xfId="0" applyFont="1" applyAlignment="1">
      <alignment vertical="center"/>
    </xf>
    <xf numFmtId="43" fontId="25" fillId="0" borderId="41" xfId="17" applyNumberFormat="1" applyFont="1" applyFill="1" applyBorder="1" applyAlignment="1" applyProtection="1">
      <alignment horizontal="center" vertical="center" wrapText="1"/>
      <protection hidden="1"/>
    </xf>
    <xf numFmtId="174" fontId="24" fillId="0" borderId="0" xfId="0" applyNumberFormat="1" applyFont="1" applyAlignment="1" applyProtection="1">
      <alignment vertical="center"/>
      <protection hidden="1"/>
    </xf>
    <xf numFmtId="0" fontId="53" fillId="0" borderId="0" xfId="0" applyFont="1" applyFill="1" applyBorder="1" applyAlignment="1" applyProtection="1">
      <alignment horizontal="justify" vertical="center" wrapText="1"/>
      <protection hidden="1"/>
    </xf>
    <xf numFmtId="43" fontId="25" fillId="0" borderId="41" xfId="17" quotePrefix="1" applyFont="1" applyFill="1" applyBorder="1" applyAlignment="1" applyProtection="1">
      <alignment horizontal="center" vertical="center" wrapText="1"/>
      <protection hidden="1"/>
    </xf>
    <xf numFmtId="4" fontId="24" fillId="2" borderId="41" xfId="0" applyNumberFormat="1" applyFont="1" applyFill="1" applyBorder="1" applyAlignment="1" applyProtection="1">
      <alignment horizontal="center" vertical="center"/>
      <protection hidden="1"/>
    </xf>
    <xf numFmtId="0" fontId="24" fillId="2" borderId="0" xfId="0" applyFont="1" applyFill="1" applyAlignment="1" applyProtection="1">
      <alignment horizontal="center" vertical="center"/>
      <protection hidden="1"/>
    </xf>
    <xf numFmtId="4" fontId="24" fillId="2" borderId="45" xfId="0" applyNumberFormat="1" applyFont="1" applyFill="1" applyBorder="1" applyAlignment="1" applyProtection="1">
      <alignment horizontal="center" vertical="center"/>
      <protection hidden="1"/>
    </xf>
    <xf numFmtId="0" fontId="79" fillId="0" borderId="0" xfId="30" applyFont="1"/>
    <xf numFmtId="0" fontId="12" fillId="0" borderId="0" xfId="30" applyFont="1"/>
    <xf numFmtId="0" fontId="12" fillId="0" borderId="0" xfId="30" applyFont="1" applyAlignment="1">
      <alignment horizontal="center"/>
    </xf>
    <xf numFmtId="0" fontId="82" fillId="0" borderId="0" xfId="30" applyFont="1"/>
    <xf numFmtId="0" fontId="83" fillId="0" borderId="0" xfId="30" applyFont="1" applyAlignment="1">
      <alignment horizontal="center"/>
    </xf>
    <xf numFmtId="0" fontId="81" fillId="0" borderId="0" xfId="30" applyFont="1"/>
    <xf numFmtId="0" fontId="12" fillId="0" borderId="2" xfId="30" applyFont="1" applyBorder="1" applyAlignment="1">
      <alignment horizontal="center"/>
    </xf>
    <xf numFmtId="0" fontId="84" fillId="28" borderId="2" xfId="30" applyFont="1" applyFill="1" applyBorder="1"/>
    <xf numFmtId="0" fontId="84" fillId="0" borderId="2" xfId="30" applyFont="1" applyBorder="1"/>
    <xf numFmtId="0" fontId="85" fillId="0" borderId="0" xfId="30" applyFont="1"/>
    <xf numFmtId="0" fontId="84" fillId="0" borderId="0" xfId="30" applyFont="1"/>
    <xf numFmtId="0" fontId="87" fillId="0" borderId="2" xfId="30" applyFont="1" applyFill="1" applyBorder="1"/>
    <xf numFmtId="0" fontId="12" fillId="0" borderId="2" xfId="30" applyFont="1" applyFill="1" applyBorder="1" applyAlignment="1">
      <alignment horizontal="center"/>
    </xf>
    <xf numFmtId="0" fontId="12" fillId="28" borderId="2" xfId="30" applyFont="1" applyFill="1" applyBorder="1"/>
    <xf numFmtId="0" fontId="87" fillId="0" borderId="2" xfId="30" applyFont="1" applyBorder="1"/>
    <xf numFmtId="0" fontId="85" fillId="0" borderId="2" xfId="30" applyFont="1" applyFill="1" applyBorder="1" applyAlignment="1">
      <alignment horizontal="center"/>
    </xf>
    <xf numFmtId="0" fontId="12" fillId="0" borderId="2" xfId="30" applyFont="1" applyBorder="1"/>
    <xf numFmtId="0" fontId="12" fillId="0" borderId="2" xfId="30" applyFont="1" applyFill="1" applyBorder="1"/>
    <xf numFmtId="0" fontId="87" fillId="0" borderId="0" xfId="30" applyFont="1"/>
    <xf numFmtId="0" fontId="88" fillId="0" borderId="0" xfId="30" applyFont="1"/>
    <xf numFmtId="43" fontId="12" fillId="25" borderId="2" xfId="30" applyNumberFormat="1" applyFont="1" applyFill="1" applyBorder="1"/>
    <xf numFmtId="0" fontId="11" fillId="0" borderId="2" xfId="30" applyFont="1" applyBorder="1"/>
    <xf numFmtId="0" fontId="89" fillId="0" borderId="0" xfId="30" applyFont="1"/>
    <xf numFmtId="4" fontId="24" fillId="0" borderId="2" xfId="0" applyNumberFormat="1" applyFont="1" applyFill="1" applyBorder="1" applyAlignment="1" applyProtection="1">
      <alignment vertical="center"/>
      <protection hidden="1"/>
    </xf>
    <xf numFmtId="0" fontId="91" fillId="2" borderId="2" xfId="0" applyFont="1" applyFill="1" applyBorder="1" applyAlignment="1" applyProtection="1">
      <alignment vertical="center"/>
      <protection hidden="1"/>
    </xf>
    <xf numFmtId="4" fontId="91" fillId="2" borderId="2" xfId="0" applyNumberFormat="1" applyFont="1" applyFill="1" applyBorder="1" applyAlignment="1" applyProtection="1">
      <alignment vertical="center"/>
      <protection hidden="1"/>
    </xf>
    <xf numFmtId="4" fontId="91" fillId="0" borderId="2" xfId="0" applyNumberFormat="1" applyFont="1" applyFill="1" applyBorder="1" applyAlignment="1" applyProtection="1">
      <alignment vertical="center"/>
      <protection hidden="1"/>
    </xf>
    <xf numFmtId="0" fontId="12" fillId="0" borderId="0" xfId="30" applyFont="1" applyFill="1" applyAlignment="1">
      <alignment horizontal="center"/>
    </xf>
    <xf numFmtId="0" fontId="12" fillId="0" borderId="0" xfId="30" applyFont="1" applyFill="1"/>
    <xf numFmtId="0" fontId="82" fillId="30" borderId="0" xfId="30" applyFont="1" applyFill="1"/>
    <xf numFmtId="43" fontId="12" fillId="24" borderId="2" xfId="30" applyNumberFormat="1" applyFont="1" applyFill="1" applyBorder="1"/>
    <xf numFmtId="0" fontId="92" fillId="14" borderId="0" xfId="30" applyFont="1" applyFill="1"/>
    <xf numFmtId="0" fontId="0" fillId="0" borderId="0" xfId="0" applyFont="1" applyFill="1"/>
    <xf numFmtId="0" fontId="0" fillId="31" borderId="0" xfId="0" applyFont="1" applyFill="1"/>
    <xf numFmtId="0" fontId="12" fillId="25" borderId="2" xfId="31" applyNumberFormat="1" applyFont="1" applyFill="1" applyBorder="1"/>
    <xf numFmtId="0" fontId="12" fillId="24" borderId="2" xfId="30" applyFont="1" applyFill="1" applyBorder="1" applyAlignment="1">
      <alignment horizontal="center"/>
    </xf>
    <xf numFmtId="0" fontId="0" fillId="14" borderId="2" xfId="0" applyFill="1" applyBorder="1" applyAlignment="1">
      <alignment vertical="center"/>
    </xf>
    <xf numFmtId="43" fontId="94" fillId="0" borderId="0" xfId="17" applyFont="1" applyFill="1" applyAlignment="1">
      <alignment horizontal="left" vertical="center"/>
    </xf>
    <xf numFmtId="0" fontId="12" fillId="25" borderId="2" xfId="30" applyFont="1" applyFill="1" applyBorder="1" applyAlignment="1">
      <alignment horizontal="center"/>
    </xf>
    <xf numFmtId="0" fontId="0" fillId="24" borderId="0" xfId="0" applyFont="1" applyFill="1"/>
    <xf numFmtId="0" fontId="12" fillId="30" borderId="2" xfId="30" applyFont="1" applyFill="1" applyBorder="1" applyAlignment="1">
      <alignment horizontal="center"/>
    </xf>
    <xf numFmtId="43" fontId="12" fillId="30" borderId="2" xfId="30" applyNumberFormat="1" applyFont="1" applyFill="1" applyBorder="1" applyAlignment="1">
      <alignment horizontal="center"/>
    </xf>
    <xf numFmtId="0" fontId="12" fillId="30" borderId="2" xfId="30" applyFont="1" applyFill="1" applyBorder="1"/>
    <xf numFmtId="43" fontId="12" fillId="0" borderId="2" xfId="30" applyNumberFormat="1" applyFont="1" applyFill="1" applyBorder="1"/>
    <xf numFmtId="4" fontId="12" fillId="25" borderId="2" xfId="30" applyNumberFormat="1" applyFont="1" applyFill="1" applyBorder="1"/>
    <xf numFmtId="4" fontId="12" fillId="25" borderId="108" xfId="30" applyNumberFormat="1" applyFont="1" applyFill="1" applyBorder="1"/>
    <xf numFmtId="0" fontId="12" fillId="25" borderId="2" xfId="30" applyFont="1" applyFill="1" applyBorder="1"/>
    <xf numFmtId="0" fontId="12" fillId="14" borderId="2" xfId="30" applyFont="1" applyFill="1" applyBorder="1" applyAlignment="1">
      <alignment horizontal="center"/>
    </xf>
    <xf numFmtId="0" fontId="12" fillId="14" borderId="2" xfId="30" applyFont="1" applyFill="1" applyBorder="1" applyAlignment="1">
      <alignment horizontal="left"/>
    </xf>
    <xf numFmtId="0" fontId="10" fillId="0" borderId="0" xfId="30" applyFont="1"/>
    <xf numFmtId="0" fontId="9" fillId="14" borderId="0" xfId="30" applyFont="1" applyFill="1" applyAlignment="1">
      <alignment horizontal="center"/>
    </xf>
    <xf numFmtId="0" fontId="8" fillId="0" borderId="0" xfId="30" applyFont="1"/>
    <xf numFmtId="0" fontId="8" fillId="0" borderId="0" xfId="30" applyFont="1" applyFill="1" applyAlignment="1">
      <alignment horizontal="center"/>
    </xf>
    <xf numFmtId="167" fontId="37" fillId="12" borderId="0" xfId="17" applyNumberFormat="1" applyFont="1" applyFill="1" applyBorder="1" applyAlignment="1" applyProtection="1">
      <alignment horizontal="center" vertical="center"/>
      <protection hidden="1"/>
    </xf>
    <xf numFmtId="0" fontId="7" fillId="0" borderId="0" xfId="30" applyFont="1"/>
    <xf numFmtId="43" fontId="7" fillId="0" borderId="2" xfId="30" applyNumberFormat="1" applyFont="1" applyFill="1" applyBorder="1"/>
    <xf numFmtId="43" fontId="87" fillId="0" borderId="2" xfId="30" applyNumberFormat="1" applyFont="1" applyFill="1" applyBorder="1"/>
    <xf numFmtId="43" fontId="12" fillId="0" borderId="0" xfId="30" applyNumberFormat="1" applyFont="1"/>
    <xf numFmtId="0" fontId="6" fillId="0" borderId="0" xfId="30" applyFont="1"/>
    <xf numFmtId="43" fontId="8" fillId="0" borderId="0" xfId="30" applyNumberFormat="1" applyFont="1"/>
    <xf numFmtId="8" fontId="89" fillId="0" borderId="0" xfId="30" applyNumberFormat="1" applyFont="1"/>
    <xf numFmtId="4" fontId="24" fillId="0" borderId="0" xfId="0" applyNumberFormat="1" applyFont="1" applyAlignment="1" applyProtection="1">
      <alignment vertical="center"/>
      <protection hidden="1"/>
    </xf>
    <xf numFmtId="0" fontId="12" fillId="0" borderId="2" xfId="30" applyFont="1" applyBorder="1" applyAlignment="1">
      <alignment horizontal="left"/>
    </xf>
    <xf numFmtId="0" fontId="7" fillId="14" borderId="0" xfId="30" applyFont="1" applyFill="1"/>
    <xf numFmtId="0" fontId="12" fillId="14" borderId="0" xfId="30" applyFont="1" applyFill="1" applyBorder="1" applyAlignment="1">
      <alignment horizontal="center"/>
    </xf>
    <xf numFmtId="43" fontId="12" fillId="0" borderId="0" xfId="30" applyNumberFormat="1" applyFont="1" applyFill="1" applyBorder="1"/>
    <xf numFmtId="0" fontId="87" fillId="0" borderId="111" xfId="30" applyFont="1" applyFill="1" applyBorder="1"/>
    <xf numFmtId="0" fontId="5" fillId="0" borderId="0" xfId="30" applyFont="1"/>
    <xf numFmtId="10" fontId="24" fillId="14" borderId="0" xfId="25" applyNumberFormat="1" applyFont="1" applyFill="1" applyAlignment="1" applyProtection="1">
      <alignment vertical="center"/>
      <protection hidden="1"/>
    </xf>
    <xf numFmtId="0" fontId="53" fillId="0" borderId="0" xfId="0" applyFont="1" applyBorder="1" applyAlignment="1" applyProtection="1">
      <alignment horizontal="justify" vertical="top" wrapText="1"/>
      <protection hidden="1"/>
    </xf>
    <xf numFmtId="0" fontId="53" fillId="0" borderId="0" xfId="0" applyFont="1" applyBorder="1" applyAlignment="1" applyProtection="1">
      <alignment horizontal="left" vertical="top" wrapText="1"/>
      <protection hidden="1"/>
    </xf>
    <xf numFmtId="0" fontId="53" fillId="0" borderId="0" xfId="0" applyFont="1" applyBorder="1" applyAlignment="1" applyProtection="1">
      <alignment horizontal="justify" vertical="top" wrapText="1"/>
      <protection hidden="1"/>
    </xf>
    <xf numFmtId="0" fontId="12" fillId="0" borderId="2" xfId="30" applyFont="1" applyBorder="1" applyAlignment="1">
      <alignment horizontal="left"/>
    </xf>
    <xf numFmtId="0" fontId="53" fillId="2" borderId="0" xfId="0" applyFont="1" applyFill="1" applyAlignment="1" applyProtection="1">
      <alignment horizontal="center" vertical="center"/>
      <protection hidden="1"/>
    </xf>
    <xf numFmtId="0" fontId="45" fillId="2" borderId="0" xfId="0" quotePrefix="1" applyFont="1" applyFill="1" applyAlignment="1" applyProtection="1">
      <alignment horizontal="center" vertical="center"/>
      <protection hidden="1"/>
    </xf>
    <xf numFmtId="0" fontId="45" fillId="2" borderId="0" xfId="0" applyFont="1" applyFill="1" applyAlignment="1" applyProtection="1">
      <alignment horizontal="center" vertical="center"/>
      <protection hidden="1"/>
    </xf>
    <xf numFmtId="0" fontId="53" fillId="0" borderId="0" xfId="0" applyFont="1" applyBorder="1" applyAlignment="1" applyProtection="1">
      <alignment horizontal="center" vertical="top"/>
      <protection hidden="1"/>
    </xf>
    <xf numFmtId="0" fontId="53" fillId="0" borderId="0" xfId="0" applyFont="1" applyBorder="1" applyAlignment="1" applyProtection="1">
      <alignment horizontal="center" vertical="top" wrapText="1"/>
      <protection hidden="1"/>
    </xf>
    <xf numFmtId="0" fontId="24" fillId="0" borderId="0" xfId="0" applyFont="1" applyFill="1" applyAlignment="1" applyProtection="1">
      <alignment horizontal="center" vertical="center"/>
      <protection hidden="1"/>
    </xf>
    <xf numFmtId="0" fontId="24" fillId="0" borderId="0" xfId="0" applyFont="1" applyFill="1" applyBorder="1" applyAlignment="1" applyProtection="1">
      <alignment horizontal="center" vertical="center"/>
      <protection hidden="1"/>
    </xf>
    <xf numFmtId="0" fontId="45" fillId="0" borderId="0" xfId="0" applyFont="1" applyFill="1" applyAlignment="1" applyProtection="1">
      <alignment horizontal="center" vertical="center"/>
      <protection hidden="1"/>
    </xf>
    <xf numFmtId="0" fontId="45" fillId="0" borderId="0" xfId="0" quotePrefix="1" applyFont="1" applyFill="1" applyAlignment="1" applyProtection="1">
      <alignment horizontal="center" vertical="center"/>
      <protection hidden="1"/>
    </xf>
    <xf numFmtId="0" fontId="12" fillId="0" borderId="0" xfId="30" applyFont="1" applyBorder="1" applyAlignment="1">
      <alignment horizontal="center"/>
    </xf>
    <xf numFmtId="0" fontId="12" fillId="0" borderId="0" xfId="30" applyFont="1" applyBorder="1" applyAlignment="1">
      <alignment horizontal="left"/>
    </xf>
    <xf numFmtId="0" fontId="97" fillId="0" borderId="0" xfId="0" applyFont="1"/>
    <xf numFmtId="43" fontId="25" fillId="0" borderId="113" xfId="17" applyFont="1" applyFill="1" applyBorder="1" applyAlignment="1" applyProtection="1">
      <alignment horizontal="center" vertical="center" wrapText="1"/>
      <protection hidden="1"/>
    </xf>
    <xf numFmtId="2" fontId="48" fillId="0" borderId="113" xfId="0" applyNumberFormat="1" applyFont="1" applyFill="1" applyBorder="1" applyAlignment="1" applyProtection="1">
      <alignment horizontal="right" vertical="center" wrapText="1"/>
      <protection hidden="1"/>
    </xf>
    <xf numFmtId="43" fontId="25" fillId="0" borderId="113" xfId="17" applyFont="1" applyFill="1" applyBorder="1" applyAlignment="1" applyProtection="1">
      <alignment vertical="center" wrapText="1"/>
      <protection hidden="1"/>
    </xf>
    <xf numFmtId="2" fontId="48" fillId="0" borderId="112" xfId="0" applyNumberFormat="1" applyFont="1" applyFill="1" applyBorder="1" applyAlignment="1" applyProtection="1">
      <alignment horizontal="right" vertical="center" wrapText="1"/>
      <protection hidden="1"/>
    </xf>
    <xf numFmtId="171" fontId="95" fillId="12" borderId="68" xfId="17" applyNumberFormat="1" applyFont="1" applyFill="1" applyBorder="1" applyAlignment="1" applyProtection="1">
      <alignment horizontal="center" vertical="center" wrapText="1"/>
      <protection hidden="1"/>
    </xf>
    <xf numFmtId="43" fontId="25" fillId="12" borderId="113" xfId="17" applyFont="1" applyFill="1" applyBorder="1" applyAlignment="1" applyProtection="1">
      <alignment horizontal="center" vertical="center" wrapText="1"/>
      <protection hidden="1"/>
    </xf>
    <xf numFmtId="2" fontId="25" fillId="0" borderId="113" xfId="0" applyNumberFormat="1" applyFont="1" applyFill="1" applyBorder="1" applyAlignment="1" applyProtection="1">
      <alignment horizontal="center" vertical="center" wrapText="1"/>
      <protection hidden="1"/>
    </xf>
    <xf numFmtId="2" fontId="24" fillId="0" borderId="113" xfId="0" applyNumberFormat="1" applyFont="1" applyFill="1" applyBorder="1" applyAlignment="1" applyProtection="1">
      <alignment horizontal="center" vertical="center" wrapText="1"/>
      <protection hidden="1"/>
    </xf>
    <xf numFmtId="2" fontId="29" fillId="0" borderId="113" xfId="0" applyNumberFormat="1" applyFont="1" applyFill="1" applyBorder="1" applyAlignment="1" applyProtection="1">
      <alignment horizontal="center" vertical="center" wrapText="1"/>
      <protection hidden="1"/>
    </xf>
    <xf numFmtId="2" fontId="48" fillId="0" borderId="113" xfId="0" applyNumberFormat="1" applyFont="1" applyFill="1" applyBorder="1" applyAlignment="1" applyProtection="1">
      <alignment horizontal="center" vertical="center" wrapText="1"/>
      <protection hidden="1"/>
    </xf>
    <xf numFmtId="43" fontId="25" fillId="12" borderId="115" xfId="17" applyFont="1" applyFill="1" applyBorder="1" applyAlignment="1" applyProtection="1">
      <alignment horizontal="center" vertical="center" wrapText="1"/>
      <protection hidden="1"/>
    </xf>
    <xf numFmtId="2" fontId="48" fillId="0" borderId="115" xfId="0" applyNumberFormat="1" applyFont="1" applyFill="1" applyBorder="1" applyAlignment="1" applyProtection="1">
      <alignment horizontal="right" vertical="center" wrapText="1"/>
      <protection hidden="1"/>
    </xf>
    <xf numFmtId="2" fontId="25" fillId="0" borderId="115" xfId="0" applyNumberFormat="1" applyFont="1" applyFill="1" applyBorder="1" applyAlignment="1" applyProtection="1">
      <alignment horizontal="center" vertical="center" wrapText="1"/>
      <protection hidden="1"/>
    </xf>
    <xf numFmtId="2" fontId="24" fillId="0" borderId="115" xfId="0" applyNumberFormat="1" applyFont="1" applyFill="1" applyBorder="1" applyAlignment="1" applyProtection="1">
      <alignment horizontal="center" vertical="center" wrapText="1"/>
      <protection hidden="1"/>
    </xf>
    <xf numFmtId="2" fontId="29" fillId="0" borderId="115" xfId="0" applyNumberFormat="1" applyFont="1" applyFill="1" applyBorder="1" applyAlignment="1" applyProtection="1">
      <alignment horizontal="center" vertical="center" wrapText="1"/>
      <protection hidden="1"/>
    </xf>
    <xf numFmtId="2" fontId="48" fillId="0" borderId="115" xfId="0" applyNumberFormat="1" applyFont="1" applyFill="1" applyBorder="1" applyAlignment="1" applyProtection="1">
      <alignment horizontal="center" vertical="center" wrapText="1"/>
      <protection hidden="1"/>
    </xf>
    <xf numFmtId="2" fontId="48" fillId="0" borderId="116" xfId="0" applyNumberFormat="1" applyFont="1" applyFill="1" applyBorder="1" applyAlignment="1" applyProtection="1">
      <alignment horizontal="right" vertical="center" wrapText="1"/>
      <protection hidden="1"/>
    </xf>
    <xf numFmtId="4" fontId="24" fillId="0" borderId="64" xfId="0" applyNumberFormat="1" applyFont="1" applyFill="1" applyBorder="1" applyAlignment="1" applyProtection="1">
      <alignment horizontal="right" vertical="center"/>
      <protection hidden="1"/>
    </xf>
    <xf numFmtId="4" fontId="25" fillId="0" borderId="64" xfId="0" applyNumberFormat="1" applyFont="1" applyFill="1" applyBorder="1" applyAlignment="1" applyProtection="1">
      <alignment horizontal="right" vertical="center"/>
      <protection hidden="1"/>
    </xf>
    <xf numFmtId="4" fontId="24" fillId="2" borderId="64" xfId="0" applyNumberFormat="1" applyFont="1" applyFill="1" applyBorder="1" applyAlignment="1" applyProtection="1">
      <alignment horizontal="center" vertical="center"/>
      <protection hidden="1"/>
    </xf>
    <xf numFmtId="4" fontId="24" fillId="2" borderId="65" xfId="0" applyNumberFormat="1" applyFont="1" applyFill="1" applyBorder="1" applyAlignment="1" applyProtection="1">
      <alignment horizontal="right" vertical="center"/>
      <protection hidden="1"/>
    </xf>
    <xf numFmtId="0" fontId="53" fillId="0" borderId="0" xfId="0" applyFont="1" applyBorder="1" applyAlignment="1" applyProtection="1">
      <alignment horizontal="justify" vertical="top" wrapText="1"/>
      <protection hidden="1"/>
    </xf>
    <xf numFmtId="0" fontId="46" fillId="5" borderId="113" xfId="0" quotePrefix="1" applyFont="1" applyFill="1" applyBorder="1" applyAlignment="1" applyProtection="1">
      <alignment horizontal="center" vertical="center" wrapText="1"/>
      <protection hidden="1"/>
    </xf>
    <xf numFmtId="9" fontId="46" fillId="5" borderId="113" xfId="0" quotePrefix="1" applyNumberFormat="1" applyFont="1" applyFill="1" applyBorder="1" applyAlignment="1" applyProtection="1">
      <alignment horizontal="center" vertical="center" wrapText="1"/>
      <protection hidden="1"/>
    </xf>
    <xf numFmtId="43" fontId="25" fillId="0" borderId="68" xfId="17" applyFont="1" applyFill="1" applyBorder="1" applyAlignment="1" applyProtection="1">
      <alignment vertical="center" wrapText="1"/>
      <protection hidden="1"/>
    </xf>
    <xf numFmtId="43" fontId="25" fillId="0" borderId="113" xfId="17" applyFont="1" applyFill="1" applyBorder="1" applyAlignment="1" applyProtection="1">
      <alignment horizontal="right" vertical="center" wrapText="1"/>
      <protection hidden="1"/>
    </xf>
    <xf numFmtId="43" fontId="26" fillId="0" borderId="113" xfId="17" applyFont="1" applyFill="1" applyBorder="1" applyAlignment="1" applyProtection="1">
      <alignment vertical="center" wrapText="1"/>
      <protection hidden="1"/>
    </xf>
    <xf numFmtId="2" fontId="25" fillId="0" borderId="113" xfId="0" quotePrefix="1" applyNumberFormat="1" applyFont="1" applyFill="1" applyBorder="1" applyAlignment="1" applyProtection="1">
      <alignment horizontal="right" vertical="center" wrapText="1"/>
      <protection hidden="1"/>
    </xf>
    <xf numFmtId="43" fontId="25" fillId="0" borderId="112" xfId="17" applyFont="1" applyFill="1" applyBorder="1" applyAlignment="1" applyProtection="1">
      <alignment horizontal="right" vertical="center" wrapText="1"/>
      <protection hidden="1"/>
    </xf>
    <xf numFmtId="0" fontId="46" fillId="32" borderId="45" xfId="0" quotePrefix="1" applyFont="1" applyFill="1" applyBorder="1" applyAlignment="1" applyProtection="1">
      <alignment horizontal="center" vertical="center" wrapText="1"/>
      <protection hidden="1"/>
    </xf>
    <xf numFmtId="9" fontId="46" fillId="32" borderId="45" xfId="0" quotePrefix="1" applyNumberFormat="1" applyFont="1" applyFill="1" applyBorder="1" applyAlignment="1" applyProtection="1">
      <alignment horizontal="center" vertical="center" wrapText="1"/>
      <protection hidden="1"/>
    </xf>
    <xf numFmtId="0" fontId="53" fillId="0" borderId="0" xfId="0" applyFont="1" applyBorder="1" applyAlignment="1" applyProtection="1">
      <alignment horizontal="justify" vertical="top" wrapText="1"/>
      <protection hidden="1"/>
    </xf>
    <xf numFmtId="43" fontId="25" fillId="0" borderId="117" xfId="17" applyFont="1" applyFill="1" applyBorder="1" applyAlignment="1" applyProtection="1">
      <alignment vertical="center" wrapText="1"/>
      <protection hidden="1"/>
    </xf>
    <xf numFmtId="43" fontId="25" fillId="0" borderId="117" xfId="17" applyFont="1" applyFill="1" applyBorder="1" applyAlignment="1" applyProtection="1">
      <alignment horizontal="center" vertical="center" wrapText="1"/>
      <protection hidden="1"/>
    </xf>
    <xf numFmtId="43" fontId="25" fillId="0" borderId="117" xfId="17" applyFont="1" applyFill="1" applyBorder="1" applyAlignment="1" applyProtection="1">
      <alignment horizontal="right" vertical="center" wrapText="1"/>
      <protection hidden="1"/>
    </xf>
    <xf numFmtId="43" fontId="26" fillId="0" borderId="117" xfId="17" applyFont="1" applyFill="1" applyBorder="1" applyAlignment="1" applyProtection="1">
      <alignment vertical="center" wrapText="1"/>
      <protection hidden="1"/>
    </xf>
    <xf numFmtId="2" fontId="25" fillId="0" borderId="117" xfId="0" quotePrefix="1" applyNumberFormat="1" applyFont="1" applyFill="1" applyBorder="1" applyAlignment="1" applyProtection="1">
      <alignment horizontal="right" vertical="center" wrapText="1"/>
      <protection hidden="1"/>
    </xf>
    <xf numFmtId="43" fontId="25" fillId="0" borderId="76" xfId="17" applyFont="1" applyFill="1" applyBorder="1" applyAlignment="1" applyProtection="1">
      <alignment vertical="center" wrapText="1"/>
      <protection hidden="1"/>
    </xf>
    <xf numFmtId="43" fontId="25" fillId="0" borderId="54" xfId="17" applyFont="1" applyFill="1" applyBorder="1" applyAlignment="1" applyProtection="1">
      <alignment vertical="center" wrapText="1"/>
      <protection hidden="1"/>
    </xf>
    <xf numFmtId="4" fontId="24" fillId="23" borderId="64" xfId="0" applyNumberFormat="1" applyFont="1" applyFill="1" applyBorder="1" applyAlignment="1" applyProtection="1">
      <alignment vertical="center"/>
      <protection hidden="1"/>
    </xf>
    <xf numFmtId="4" fontId="24" fillId="12" borderId="64" xfId="0" applyNumberFormat="1" applyFont="1" applyFill="1" applyBorder="1" applyAlignment="1" applyProtection="1">
      <alignment vertical="center"/>
      <protection hidden="1"/>
    </xf>
    <xf numFmtId="4" fontId="24" fillId="0" borderId="64" xfId="0" applyNumberFormat="1" applyFont="1" applyFill="1" applyBorder="1" applyAlignment="1" applyProtection="1">
      <alignment vertical="center"/>
      <protection hidden="1"/>
    </xf>
    <xf numFmtId="4" fontId="24" fillId="2" borderId="64" xfId="0" applyNumberFormat="1" applyFont="1" applyFill="1" applyBorder="1" applyAlignment="1" applyProtection="1">
      <alignment vertical="center"/>
      <protection hidden="1"/>
    </xf>
    <xf numFmtId="4" fontId="49" fillId="5" borderId="64" xfId="0" applyNumberFormat="1" applyFont="1" applyFill="1" applyBorder="1" applyAlignment="1" applyProtection="1">
      <alignment vertical="center"/>
      <protection hidden="1"/>
    </xf>
    <xf numFmtId="4" fontId="24" fillId="0" borderId="64" xfId="0" applyNumberFormat="1" applyFont="1" applyFill="1" applyBorder="1" applyAlignment="1" applyProtection="1">
      <alignment horizontal="center" vertical="center"/>
      <protection hidden="1"/>
    </xf>
    <xf numFmtId="0" fontId="4" fillId="14" borderId="0" xfId="30" applyFont="1" applyFill="1"/>
    <xf numFmtId="0" fontId="87" fillId="14" borderId="0" xfId="30" applyFont="1" applyFill="1" applyBorder="1" applyAlignment="1">
      <alignment horizontal="center"/>
    </xf>
    <xf numFmtId="0" fontId="87" fillId="0" borderId="0" xfId="30" applyFont="1" applyBorder="1" applyAlignment="1">
      <alignment horizontal="center"/>
    </xf>
    <xf numFmtId="0" fontId="87" fillId="0" borderId="0" xfId="30" applyFont="1" applyBorder="1" applyAlignment="1">
      <alignment horizontal="left"/>
    </xf>
    <xf numFmtId="43" fontId="87" fillId="0" borderId="0" xfId="30" applyNumberFormat="1" applyFont="1" applyFill="1" applyBorder="1"/>
    <xf numFmtId="0" fontId="12" fillId="0" borderId="2" xfId="30" applyFont="1" applyBorder="1" applyAlignment="1">
      <alignment horizontal="left"/>
    </xf>
    <xf numFmtId="4" fontId="24" fillId="27" borderId="41" xfId="0" applyNumberFormat="1" applyFont="1" applyFill="1" applyBorder="1" applyAlignment="1" applyProtection="1">
      <alignment horizontal="center" vertical="center"/>
      <protection hidden="1"/>
    </xf>
    <xf numFmtId="0" fontId="87" fillId="14" borderId="0" xfId="30" applyFont="1" applyFill="1"/>
    <xf numFmtId="43" fontId="47" fillId="0" borderId="0" xfId="0" applyNumberFormat="1" applyFont="1" applyAlignment="1" applyProtection="1">
      <alignment vertical="center"/>
      <protection hidden="1"/>
    </xf>
    <xf numFmtId="43" fontId="24" fillId="2" borderId="0" xfId="0" applyNumberFormat="1" applyFont="1" applyFill="1" applyAlignment="1" applyProtection="1">
      <alignment vertical="center"/>
      <protection hidden="1"/>
    </xf>
    <xf numFmtId="9" fontId="24" fillId="0" borderId="0" xfId="25" applyFont="1" applyAlignment="1" applyProtection="1">
      <alignment vertical="center"/>
      <protection hidden="1"/>
    </xf>
    <xf numFmtId="9" fontId="47" fillId="0" borderId="0" xfId="25" applyFont="1" applyAlignment="1" applyProtection="1">
      <alignment vertical="center"/>
      <protection hidden="1"/>
    </xf>
    <xf numFmtId="164" fontId="24" fillId="0" borderId="0" xfId="0" applyNumberFormat="1" applyFont="1" applyFill="1" applyBorder="1" applyAlignment="1" applyProtection="1">
      <alignment vertical="center"/>
      <protection hidden="1"/>
    </xf>
    <xf numFmtId="43" fontId="24" fillId="0" borderId="0" xfId="0" applyNumberFormat="1" applyFont="1" applyFill="1" applyBorder="1" applyAlignment="1" applyProtection="1">
      <alignment vertical="center"/>
      <protection hidden="1"/>
    </xf>
    <xf numFmtId="175" fontId="24" fillId="0" borderId="0" xfId="0" applyNumberFormat="1" applyFont="1" applyFill="1" applyBorder="1" applyAlignment="1" applyProtection="1">
      <alignment vertical="center"/>
      <protection hidden="1"/>
    </xf>
    <xf numFmtId="43" fontId="24" fillId="0" borderId="0" xfId="25" applyNumberFormat="1" applyFont="1" applyFill="1" applyBorder="1" applyAlignment="1" applyProtection="1">
      <alignment vertical="center"/>
      <protection hidden="1"/>
    </xf>
    <xf numFmtId="177" fontId="24" fillId="0" borderId="0" xfId="25" applyNumberFormat="1" applyFont="1" applyFill="1" applyBorder="1" applyAlignment="1" applyProtection="1">
      <alignment vertical="center"/>
      <protection hidden="1"/>
    </xf>
    <xf numFmtId="41" fontId="24" fillId="0" borderId="0" xfId="31" applyFont="1" applyFill="1" applyBorder="1" applyAlignment="1" applyProtection="1">
      <alignment vertical="center"/>
      <protection hidden="1"/>
    </xf>
    <xf numFmtId="176" fontId="24" fillId="0" borderId="0" xfId="0" applyNumberFormat="1" applyFont="1" applyFill="1" applyBorder="1" applyAlignment="1" applyProtection="1">
      <alignment vertical="center"/>
      <protection hidden="1"/>
    </xf>
    <xf numFmtId="0" fontId="100" fillId="0" borderId="0" xfId="0" applyFont="1" applyAlignment="1" applyProtection="1">
      <alignment vertical="center" wrapText="1"/>
      <protection hidden="1"/>
    </xf>
    <xf numFmtId="178" fontId="74" fillId="0" borderId="0" xfId="32" applyNumberFormat="1" applyFont="1" applyAlignment="1" applyProtection="1">
      <alignment vertical="center"/>
      <protection hidden="1"/>
    </xf>
    <xf numFmtId="0" fontId="74" fillId="0" borderId="0" xfId="0" applyFont="1" applyAlignment="1" applyProtection="1">
      <alignment vertical="center"/>
      <protection hidden="1"/>
    </xf>
    <xf numFmtId="0" fontId="3" fillId="14" borderId="0" xfId="30" applyFont="1" applyFill="1"/>
    <xf numFmtId="0" fontId="97" fillId="12" borderId="0" xfId="0" applyFont="1" applyFill="1"/>
    <xf numFmtId="0" fontId="2" fillId="14" borderId="0" xfId="30" applyFont="1" applyFill="1"/>
    <xf numFmtId="0" fontId="1" fillId="0" borderId="0" xfId="30" applyFont="1"/>
    <xf numFmtId="0" fontId="87" fillId="0" borderId="0" xfId="30" applyFont="1" applyFill="1" applyBorder="1"/>
    <xf numFmtId="4" fontId="12" fillId="25" borderId="0" xfId="30" applyNumberFormat="1" applyFont="1" applyFill="1" applyBorder="1"/>
    <xf numFmtId="4" fontId="50" fillId="2" borderId="2" xfId="0" applyNumberFormat="1" applyFont="1" applyFill="1" applyBorder="1" applyAlignment="1" applyProtection="1">
      <alignment vertical="center"/>
      <protection hidden="1"/>
    </xf>
    <xf numFmtId="43" fontId="24" fillId="2" borderId="0" xfId="17" applyFont="1" applyFill="1" applyAlignment="1" applyProtection="1">
      <alignment vertical="center"/>
      <protection hidden="1"/>
    </xf>
    <xf numFmtId="0" fontId="53" fillId="0" borderId="0" xfId="0" applyFont="1" applyBorder="1" applyAlignment="1" applyProtection="1">
      <alignment horizontal="left" vertical="top" wrapText="1"/>
      <protection hidden="1"/>
    </xf>
    <xf numFmtId="0" fontId="53" fillId="12" borderId="0" xfId="0" applyFont="1" applyFill="1" applyAlignment="1" applyProtection="1">
      <alignment horizontal="left" vertical="top" wrapText="1"/>
      <protection hidden="1"/>
    </xf>
    <xf numFmtId="171" fontId="95" fillId="0" borderId="114" xfId="17" applyNumberFormat="1" applyFont="1" applyFill="1" applyBorder="1" applyAlignment="1" applyProtection="1">
      <alignment horizontal="center" vertical="center" wrapText="1"/>
      <protection hidden="1"/>
    </xf>
    <xf numFmtId="43" fontId="24" fillId="0" borderId="41" xfId="17" applyFont="1" applyFill="1" applyBorder="1" applyAlignment="1" applyProtection="1">
      <alignment horizontal="right" vertical="center"/>
      <protection hidden="1"/>
    </xf>
    <xf numFmtId="43" fontId="47" fillId="0" borderId="0" xfId="17" applyFont="1" applyAlignment="1" applyProtection="1">
      <alignment vertical="center"/>
      <protection hidden="1"/>
    </xf>
    <xf numFmtId="0" fontId="53" fillId="0" borderId="0" xfId="0" applyFont="1" applyBorder="1" applyAlignment="1" applyProtection="1">
      <alignment horizontal="left" vertical="top" wrapText="1"/>
      <protection hidden="1"/>
    </xf>
    <xf numFmtId="0" fontId="53" fillId="12" borderId="0" xfId="0" applyFont="1" applyFill="1" applyAlignment="1" applyProtection="1">
      <alignment horizontal="left" vertical="top" wrapText="1"/>
      <protection hidden="1"/>
    </xf>
    <xf numFmtId="9" fontId="24" fillId="0" borderId="0" xfId="0" applyNumberFormat="1" applyFont="1" applyAlignment="1" applyProtection="1">
      <alignment vertical="center"/>
      <protection hidden="1"/>
    </xf>
    <xf numFmtId="0" fontId="101" fillId="0" borderId="0" xfId="0" applyFont="1" applyAlignment="1" applyProtection="1">
      <alignment vertical="center"/>
      <protection hidden="1"/>
    </xf>
    <xf numFmtId="0" fontId="51" fillId="6" borderId="0" xfId="0" applyFont="1" applyFill="1" applyBorder="1" applyAlignment="1" applyProtection="1">
      <alignment horizontal="center" vertical="center"/>
      <protection hidden="1"/>
    </xf>
    <xf numFmtId="0" fontId="26" fillId="2" borderId="0" xfId="0" quotePrefix="1" applyFont="1" applyFill="1" applyBorder="1" applyAlignment="1" applyProtection="1">
      <alignment horizontal="left" vertical="center" wrapText="1"/>
      <protection hidden="1"/>
    </xf>
    <xf numFmtId="0" fontId="51" fillId="6" borderId="0" xfId="0" applyFont="1" applyFill="1" applyBorder="1" applyAlignment="1" applyProtection="1">
      <alignment vertical="center"/>
      <protection hidden="1"/>
    </xf>
    <xf numFmtId="0" fontId="51" fillId="6" borderId="63" xfId="0" applyFont="1" applyFill="1" applyBorder="1" applyAlignment="1" applyProtection="1">
      <alignment vertical="center"/>
      <protection hidden="1"/>
    </xf>
    <xf numFmtId="0" fontId="53" fillId="0" borderId="0" xfId="0" applyFont="1" applyBorder="1" applyAlignment="1" applyProtection="1">
      <alignment horizontal="left" vertical="top" wrapText="1"/>
      <protection hidden="1"/>
    </xf>
    <xf numFmtId="0" fontId="53" fillId="12" borderId="0" xfId="0" applyFont="1" applyFill="1" applyAlignment="1" applyProtection="1">
      <alignment horizontal="left" vertical="top" wrapText="1"/>
      <protection hidden="1"/>
    </xf>
    <xf numFmtId="0" fontId="53" fillId="0" borderId="0" xfId="0" applyFont="1" applyBorder="1" applyAlignment="1" applyProtection="1">
      <alignment horizontal="left" vertical="top" wrapText="1"/>
      <protection hidden="1"/>
    </xf>
    <xf numFmtId="0" fontId="53" fillId="12" borderId="0" xfId="0" applyFont="1" applyFill="1" applyAlignment="1" applyProtection="1">
      <alignment horizontal="left" vertical="top" wrapText="1"/>
      <protection hidden="1"/>
    </xf>
    <xf numFmtId="43" fontId="95" fillId="0" borderId="52" xfId="17" applyFont="1" applyFill="1" applyBorder="1" applyAlignment="1" applyProtection="1">
      <alignment horizontal="center" vertical="center" wrapText="1"/>
      <protection hidden="1"/>
    </xf>
    <xf numFmtId="43" fontId="25" fillId="0" borderId="52" xfId="17" applyFont="1" applyFill="1" applyBorder="1" applyAlignment="1" applyProtection="1">
      <alignment horizontal="center" vertical="center" wrapText="1"/>
      <protection hidden="1"/>
    </xf>
    <xf numFmtId="43" fontId="25" fillId="0" borderId="52" xfId="17" applyFont="1" applyFill="1" applyBorder="1" applyAlignment="1" applyProtection="1">
      <alignment horizontal="right" vertical="center" wrapText="1"/>
      <protection hidden="1"/>
    </xf>
    <xf numFmtId="43" fontId="24" fillId="12" borderId="0" xfId="17" applyFont="1" applyFill="1" applyBorder="1" applyAlignment="1" applyProtection="1">
      <alignment horizontal="center" vertical="center"/>
      <protection hidden="1"/>
    </xf>
    <xf numFmtId="0" fontId="103" fillId="5" borderId="45" xfId="0" applyFont="1" applyFill="1" applyBorder="1" applyAlignment="1" applyProtection="1">
      <alignment horizontal="center" vertical="center" wrapText="1"/>
      <protection hidden="1"/>
    </xf>
    <xf numFmtId="15" fontId="107" fillId="5" borderId="47" xfId="0" applyNumberFormat="1" applyFont="1" applyFill="1" applyBorder="1" applyAlignment="1" applyProtection="1">
      <alignment horizontal="center" vertical="center" wrapText="1"/>
      <protection hidden="1"/>
    </xf>
    <xf numFmtId="4" fontId="91" fillId="25" borderId="2" xfId="0" applyNumberFormat="1" applyFont="1" applyFill="1" applyBorder="1" applyAlignment="1" applyProtection="1">
      <alignment vertical="center"/>
      <protection hidden="1"/>
    </xf>
    <xf numFmtId="0" fontId="24" fillId="14" borderId="0" xfId="0" applyFont="1" applyFill="1" applyAlignment="1" applyProtection="1">
      <alignment vertical="center"/>
      <protection hidden="1"/>
    </xf>
    <xf numFmtId="171" fontId="95" fillId="14" borderId="68" xfId="17" applyNumberFormat="1" applyFont="1" applyFill="1" applyBorder="1" applyAlignment="1" applyProtection="1">
      <alignment horizontal="center" vertical="center" wrapText="1"/>
      <protection hidden="1"/>
    </xf>
    <xf numFmtId="171" fontId="95" fillId="14" borderId="114" xfId="17" applyNumberFormat="1" applyFont="1" applyFill="1" applyBorder="1" applyAlignment="1" applyProtection="1">
      <alignment horizontal="center" vertical="center" wrapText="1"/>
      <protection hidden="1"/>
    </xf>
    <xf numFmtId="43" fontId="25" fillId="14" borderId="113" xfId="17" applyFont="1" applyFill="1" applyBorder="1" applyAlignment="1" applyProtection="1">
      <alignment horizontal="center" vertical="center" wrapText="1"/>
      <protection hidden="1"/>
    </xf>
    <xf numFmtId="43" fontId="25" fillId="14" borderId="115" xfId="17" applyFont="1" applyFill="1" applyBorder="1" applyAlignment="1" applyProtection="1">
      <alignment horizontal="center" vertical="center" wrapText="1"/>
      <protection hidden="1"/>
    </xf>
    <xf numFmtId="2" fontId="48" fillId="14" borderId="113" xfId="0" applyNumberFormat="1" applyFont="1" applyFill="1" applyBorder="1" applyAlignment="1" applyProtection="1">
      <alignment horizontal="right" vertical="center" wrapText="1"/>
      <protection hidden="1"/>
    </xf>
    <xf numFmtId="2" fontId="48" fillId="14" borderId="115" xfId="0" applyNumberFormat="1" applyFont="1" applyFill="1" applyBorder="1" applyAlignment="1" applyProtection="1">
      <alignment horizontal="right" vertical="center" wrapText="1"/>
      <protection hidden="1"/>
    </xf>
    <xf numFmtId="2" fontId="25" fillId="14" borderId="113" xfId="0" applyNumberFormat="1" applyFont="1" applyFill="1" applyBorder="1" applyAlignment="1" applyProtection="1">
      <alignment horizontal="center" vertical="center" wrapText="1"/>
      <protection hidden="1"/>
    </xf>
    <xf numFmtId="2" fontId="25" fillId="14" borderId="115" xfId="0" applyNumberFormat="1" applyFont="1" applyFill="1" applyBorder="1" applyAlignment="1" applyProtection="1">
      <alignment horizontal="center" vertical="center" wrapText="1"/>
      <protection hidden="1"/>
    </xf>
    <xf numFmtId="43" fontId="25" fillId="14" borderId="113" xfId="17" applyFont="1" applyFill="1" applyBorder="1" applyAlignment="1" applyProtection="1">
      <alignment vertical="center" wrapText="1"/>
      <protection hidden="1"/>
    </xf>
    <xf numFmtId="2" fontId="24" fillId="14" borderId="115" xfId="0" applyNumberFormat="1" applyFont="1" applyFill="1" applyBorder="1" applyAlignment="1" applyProtection="1">
      <alignment horizontal="center" vertical="center" wrapText="1"/>
      <protection hidden="1"/>
    </xf>
    <xf numFmtId="2" fontId="29" fillId="14" borderId="115" xfId="0" applyNumberFormat="1" applyFont="1" applyFill="1" applyBorder="1" applyAlignment="1" applyProtection="1">
      <alignment horizontal="center" vertical="center" wrapText="1"/>
      <protection hidden="1"/>
    </xf>
    <xf numFmtId="2" fontId="48" fillId="14" borderId="115" xfId="0" applyNumberFormat="1" applyFont="1" applyFill="1" applyBorder="1" applyAlignment="1" applyProtection="1">
      <alignment horizontal="center" vertical="center" wrapText="1"/>
      <protection hidden="1"/>
    </xf>
    <xf numFmtId="2" fontId="48" fillId="14" borderId="118" xfId="0" applyNumberFormat="1" applyFont="1" applyFill="1" applyBorder="1" applyAlignment="1" applyProtection="1">
      <alignment horizontal="right" vertical="center" wrapText="1"/>
      <protection hidden="1"/>
    </xf>
    <xf numFmtId="2" fontId="48" fillId="14" borderId="116" xfId="0" applyNumberFormat="1" applyFont="1" applyFill="1" applyBorder="1" applyAlignment="1" applyProtection="1">
      <alignment horizontal="right" vertical="center" wrapText="1"/>
      <protection hidden="1"/>
    </xf>
    <xf numFmtId="0" fontId="24" fillId="33" borderId="0" xfId="0" applyFont="1" applyFill="1" applyAlignment="1" applyProtection="1">
      <alignment vertical="center"/>
      <protection hidden="1"/>
    </xf>
    <xf numFmtId="0" fontId="7" fillId="0" borderId="95" xfId="30" applyFont="1" applyBorder="1" applyAlignment="1">
      <alignment horizontal="center"/>
    </xf>
    <xf numFmtId="0" fontId="7" fillId="0" borderId="96" xfId="30" applyFont="1" applyBorder="1" applyAlignment="1">
      <alignment horizontal="center"/>
    </xf>
    <xf numFmtId="0" fontId="82" fillId="0" borderId="2" xfId="30" applyFont="1" applyBorder="1" applyAlignment="1">
      <alignment horizontal="left" vertical="center"/>
    </xf>
    <xf numFmtId="0" fontId="83" fillId="0" borderId="105" xfId="30" applyFont="1" applyBorder="1" applyAlignment="1">
      <alignment horizontal="center" vertical="center"/>
    </xf>
    <xf numFmtId="0" fontId="81" fillId="0" borderId="92" xfId="30" applyFont="1" applyBorder="1" applyAlignment="1">
      <alignment horizontal="left"/>
    </xf>
    <xf numFmtId="0" fontId="81" fillId="0" borderId="93" xfId="30" applyFont="1" applyBorder="1" applyAlignment="1">
      <alignment horizontal="left"/>
    </xf>
    <xf numFmtId="0" fontId="81" fillId="0" borderId="106" xfId="30" applyFont="1" applyBorder="1" applyAlignment="1">
      <alignment horizontal="left"/>
    </xf>
    <xf numFmtId="0" fontId="81" fillId="0" borderId="96" xfId="30" applyFont="1" applyBorder="1" applyAlignment="1">
      <alignment horizontal="left"/>
    </xf>
    <xf numFmtId="0" fontId="81" fillId="0" borderId="97" xfId="30" applyFont="1" applyBorder="1" applyAlignment="1">
      <alignment horizontal="left"/>
    </xf>
    <xf numFmtId="0" fontId="81" fillId="0" borderId="107" xfId="30" applyFont="1" applyBorder="1" applyAlignment="1">
      <alignment horizontal="left"/>
    </xf>
    <xf numFmtId="0" fontId="82" fillId="0" borderId="2" xfId="30" applyFont="1" applyBorder="1" applyAlignment="1">
      <alignment horizontal="center" vertical="center"/>
    </xf>
    <xf numFmtId="0" fontId="12" fillId="0" borderId="2" xfId="30" applyFont="1" applyBorder="1" applyAlignment="1">
      <alignment horizontal="left"/>
    </xf>
    <xf numFmtId="0" fontId="12" fillId="29" borderId="2" xfId="30" applyFont="1" applyFill="1" applyBorder="1" applyAlignment="1">
      <alignment horizontal="left"/>
    </xf>
    <xf numFmtId="0" fontId="12" fillId="0" borderId="108" xfId="30" applyFont="1" applyBorder="1" applyAlignment="1">
      <alignment horizontal="left"/>
    </xf>
    <xf numFmtId="0" fontId="12" fillId="0" borderId="105" xfId="30" applyFont="1" applyBorder="1" applyAlignment="1">
      <alignment horizontal="center"/>
    </xf>
    <xf numFmtId="0" fontId="12" fillId="0" borderId="109" xfId="30" applyFont="1" applyBorder="1" applyAlignment="1">
      <alignment horizontal="center"/>
    </xf>
    <xf numFmtId="0" fontId="12" fillId="0" borderId="110" xfId="30" applyFont="1" applyBorder="1" applyAlignment="1">
      <alignment horizontal="center"/>
    </xf>
    <xf numFmtId="0" fontId="12" fillId="0" borderId="105" xfId="30" applyFont="1" applyBorder="1" applyAlignment="1">
      <alignment horizontal="left"/>
    </xf>
    <xf numFmtId="0" fontId="12" fillId="0" borderId="109" xfId="30" applyFont="1" applyBorder="1" applyAlignment="1">
      <alignment horizontal="left"/>
    </xf>
    <xf numFmtId="0" fontId="12" fillId="0" borderId="110" xfId="30" applyFont="1" applyBorder="1" applyAlignment="1">
      <alignment horizontal="left"/>
    </xf>
    <xf numFmtId="0" fontId="12" fillId="28" borderId="2" xfId="30" applyFont="1" applyFill="1" applyBorder="1" applyAlignment="1">
      <alignment horizontal="left"/>
    </xf>
    <xf numFmtId="0" fontId="12" fillId="29" borderId="111" xfId="30" applyFont="1" applyFill="1" applyBorder="1" applyAlignment="1">
      <alignment horizontal="left"/>
    </xf>
    <xf numFmtId="0" fontId="12" fillId="0" borderId="2" xfId="30" applyFont="1" applyBorder="1" applyAlignment="1">
      <alignment horizontal="center"/>
    </xf>
    <xf numFmtId="0" fontId="54" fillId="18" borderId="2" xfId="0" applyFont="1" applyFill="1" applyBorder="1" applyAlignment="1">
      <alignment horizontal="center" vertical="center"/>
    </xf>
    <xf numFmtId="0" fontId="55" fillId="18" borderId="2" xfId="0" applyFont="1" applyFill="1" applyBorder="1" applyAlignment="1">
      <alignment horizontal="center" vertical="center"/>
    </xf>
    <xf numFmtId="0" fontId="13" fillId="0" borderId="92" xfId="21" applyBorder="1" applyAlignment="1">
      <alignment horizontal="center"/>
    </xf>
    <xf numFmtId="0" fontId="13" fillId="0" borderId="93" xfId="21" applyBorder="1" applyAlignment="1">
      <alignment horizontal="center"/>
    </xf>
    <xf numFmtId="0" fontId="13" fillId="0" borderId="94" xfId="21" applyBorder="1" applyAlignment="1">
      <alignment horizontal="center"/>
    </xf>
    <xf numFmtId="0" fontId="13" fillId="0" borderId="95" xfId="21" applyBorder="1" applyAlignment="1">
      <alignment horizontal="center"/>
    </xf>
    <xf numFmtId="0" fontId="13" fillId="0" borderId="0" xfId="21" applyBorder="1" applyAlignment="1">
      <alignment horizontal="center"/>
    </xf>
    <xf numFmtId="0" fontId="13" fillId="0" borderId="4" xfId="21" applyBorder="1" applyAlignment="1">
      <alignment horizontal="center"/>
    </xf>
    <xf numFmtId="0" fontId="13" fillId="0" borderId="96" xfId="21" applyBorder="1" applyAlignment="1">
      <alignment horizontal="center"/>
    </xf>
    <xf numFmtId="0" fontId="13" fillId="0" borderId="97" xfId="21" applyBorder="1" applyAlignment="1">
      <alignment horizontal="center"/>
    </xf>
    <xf numFmtId="0" fontId="13" fillId="0" borderId="98" xfId="21" applyBorder="1" applyAlignment="1">
      <alignment horizontal="center"/>
    </xf>
    <xf numFmtId="0" fontId="37" fillId="2" borderId="2" xfId="21" applyFont="1" applyFill="1" applyBorder="1" applyAlignment="1">
      <alignment horizontal="center"/>
    </xf>
    <xf numFmtId="0" fontId="37" fillId="2" borderId="91" xfId="21" applyFont="1" applyFill="1" applyBorder="1" applyAlignment="1">
      <alignment horizontal="center"/>
    </xf>
    <xf numFmtId="0" fontId="13" fillId="0" borderId="100" xfId="21" applyBorder="1" applyAlignment="1">
      <alignment horizontal="center"/>
    </xf>
    <xf numFmtId="0" fontId="13" fillId="0" borderId="101" xfId="21" applyBorder="1" applyAlignment="1">
      <alignment horizontal="center"/>
    </xf>
    <xf numFmtId="0" fontId="39" fillId="24" borderId="8" xfId="21" applyFont="1" applyFill="1" applyBorder="1" applyAlignment="1">
      <alignment horizontal="center"/>
    </xf>
    <xf numFmtId="0" fontId="39" fillId="24" borderId="9" xfId="21" applyFont="1" applyFill="1" applyBorder="1" applyAlignment="1">
      <alignment horizontal="center"/>
    </xf>
    <xf numFmtId="0" fontId="39" fillId="24" borderId="15" xfId="21" applyFont="1" applyFill="1" applyBorder="1" applyAlignment="1">
      <alignment horizontal="center"/>
    </xf>
    <xf numFmtId="0" fontId="39" fillId="24" borderId="5" xfId="21" applyFont="1" applyFill="1" applyBorder="1" applyAlignment="1">
      <alignment horizontal="center" vertical="center" wrapText="1"/>
    </xf>
    <xf numFmtId="0" fontId="39" fillId="24" borderId="6" xfId="21" applyFont="1" applyFill="1" applyBorder="1" applyAlignment="1">
      <alignment horizontal="center" vertical="center" wrapText="1"/>
    </xf>
    <xf numFmtId="0" fontId="39" fillId="24" borderId="11" xfId="21" applyFont="1" applyFill="1" applyBorder="1" applyAlignment="1">
      <alignment horizontal="center" vertical="center" wrapText="1"/>
    </xf>
    <xf numFmtId="0" fontId="39" fillId="24" borderId="13" xfId="21" applyFont="1" applyFill="1" applyBorder="1" applyAlignment="1">
      <alignment horizontal="center" vertical="center" wrapText="1"/>
    </xf>
    <xf numFmtId="10" fontId="39" fillId="24" borderId="3" xfId="26" applyNumberFormat="1" applyFont="1" applyFill="1" applyBorder="1" applyAlignment="1">
      <alignment horizontal="center" vertical="center"/>
    </xf>
    <xf numFmtId="10" fontId="39" fillId="24" borderId="12" xfId="26" applyNumberFormat="1" applyFont="1" applyFill="1" applyBorder="1" applyAlignment="1">
      <alignment horizontal="center" vertical="center"/>
    </xf>
    <xf numFmtId="0" fontId="37" fillId="2" borderId="89" xfId="21" applyFont="1" applyFill="1" applyBorder="1" applyAlignment="1">
      <alignment horizontal="center"/>
    </xf>
    <xf numFmtId="0" fontId="37" fillId="2" borderId="90" xfId="21" applyFont="1" applyFill="1" applyBorder="1" applyAlignment="1">
      <alignment horizontal="center"/>
    </xf>
    <xf numFmtId="49" fontId="38" fillId="10" borderId="11" xfId="23" quotePrefix="1" applyNumberFormat="1" applyFont="1" applyFill="1" applyBorder="1" applyAlignment="1" applyProtection="1">
      <alignment horizontal="center" vertical="center" wrapText="1"/>
    </xf>
    <xf numFmtId="49" fontId="38" fillId="10" borderId="13" xfId="23" quotePrefix="1" applyNumberFormat="1" applyFont="1" applyFill="1" applyBorder="1" applyAlignment="1" applyProtection="1">
      <alignment horizontal="center" vertical="center" wrapText="1"/>
    </xf>
    <xf numFmtId="49" fontId="38" fillId="10" borderId="12" xfId="23" quotePrefix="1" applyNumberFormat="1" applyFont="1" applyFill="1" applyBorder="1" applyAlignment="1" applyProtection="1">
      <alignment horizontal="center" vertical="center" wrapText="1"/>
    </xf>
    <xf numFmtId="37" fontId="35" fillId="9" borderId="5" xfId="23" applyNumberFormat="1" applyFont="1" applyFill="1" applyBorder="1" applyAlignment="1" applyProtection="1">
      <alignment horizontal="center" vertical="center" wrapText="1"/>
    </xf>
    <xf numFmtId="37" fontId="35" fillId="9" borderId="3" xfId="23" applyNumberFormat="1" applyFont="1" applyFill="1" applyBorder="1" applyAlignment="1" applyProtection="1">
      <alignment horizontal="center" vertical="center" wrapText="1"/>
    </xf>
    <xf numFmtId="37" fontId="35" fillId="9" borderId="11" xfId="23" applyNumberFormat="1" applyFont="1" applyFill="1" applyBorder="1" applyAlignment="1" applyProtection="1">
      <alignment horizontal="center" vertical="center" wrapText="1"/>
    </xf>
    <xf numFmtId="37" fontId="35" fillId="9" borderId="12" xfId="23" applyNumberFormat="1" applyFont="1" applyFill="1" applyBorder="1" applyAlignment="1" applyProtection="1">
      <alignment horizontal="center" vertical="center" wrapText="1"/>
    </xf>
    <xf numFmtId="0" fontId="62" fillId="0" borderId="0" xfId="21" applyFont="1" applyAlignment="1">
      <alignment horizontal="justify" wrapText="1"/>
    </xf>
    <xf numFmtId="0" fontId="39" fillId="12" borderId="13" xfId="21" applyFont="1" applyFill="1" applyBorder="1" applyAlignment="1">
      <alignment horizontal="center"/>
    </xf>
    <xf numFmtId="0" fontId="63" fillId="0" borderId="0" xfId="21" applyFont="1" applyAlignment="1">
      <alignment horizontal="left" wrapText="1"/>
    </xf>
    <xf numFmtId="0" fontId="39" fillId="12" borderId="0" xfId="21" applyFont="1" applyFill="1" applyBorder="1" applyAlignment="1">
      <alignment horizontal="center"/>
    </xf>
    <xf numFmtId="0" fontId="39" fillId="25" borderId="5" xfId="21" applyFont="1" applyFill="1" applyBorder="1" applyAlignment="1">
      <alignment horizontal="center" vertical="center" wrapText="1"/>
    </xf>
    <xf numFmtId="0" fontId="39" fillId="25" borderId="6" xfId="21" applyFont="1" applyFill="1" applyBorder="1" applyAlignment="1">
      <alignment horizontal="center" vertical="center" wrapText="1"/>
    </xf>
    <xf numFmtId="0" fontId="39" fillId="25" borderId="11" xfId="21" applyFont="1" applyFill="1" applyBorder="1" applyAlignment="1">
      <alignment horizontal="center" vertical="center" wrapText="1"/>
    </xf>
    <xf numFmtId="0" fontId="39" fillId="25" borderId="13" xfId="21" applyFont="1" applyFill="1" applyBorder="1" applyAlignment="1">
      <alignment horizontal="center" vertical="center" wrapText="1"/>
    </xf>
    <xf numFmtId="10" fontId="39" fillId="25" borderId="3" xfId="26" applyNumberFormat="1" applyFont="1" applyFill="1" applyBorder="1" applyAlignment="1">
      <alignment horizontal="center" vertical="center"/>
    </xf>
    <xf numFmtId="10" fontId="39" fillId="25" borderId="12" xfId="26" applyNumberFormat="1" applyFont="1" applyFill="1" applyBorder="1" applyAlignment="1">
      <alignment horizontal="center" vertical="center"/>
    </xf>
    <xf numFmtId="0" fontId="53" fillId="0" borderId="0" xfId="0" applyFont="1" applyBorder="1" applyAlignment="1" applyProtection="1">
      <alignment horizontal="left" vertical="center" wrapText="1"/>
      <protection hidden="1"/>
    </xf>
    <xf numFmtId="0" fontId="26" fillId="2" borderId="0" xfId="0" applyFont="1" applyFill="1" applyBorder="1" applyAlignment="1" applyProtection="1">
      <alignment horizontal="center" vertical="center" wrapText="1"/>
      <protection hidden="1"/>
    </xf>
    <xf numFmtId="0" fontId="26" fillId="2" borderId="0" xfId="0" applyFont="1" applyFill="1" applyBorder="1" applyAlignment="1" applyProtection="1">
      <alignment vertical="center" wrapText="1"/>
      <protection hidden="1"/>
    </xf>
    <xf numFmtId="0" fontId="53" fillId="0" borderId="0" xfId="0" applyFont="1" applyBorder="1" applyAlignment="1" applyProtection="1">
      <alignment horizontal="left" vertical="top" wrapText="1"/>
      <protection hidden="1"/>
    </xf>
    <xf numFmtId="0" fontId="76" fillId="0" borderId="0" xfId="21" applyFont="1" applyAlignment="1" applyProtection="1">
      <alignment horizontal="left" vertical="center" wrapText="1"/>
      <protection hidden="1"/>
    </xf>
    <xf numFmtId="0" fontId="53" fillId="0" borderId="0" xfId="0" applyFont="1" applyBorder="1" applyAlignment="1" applyProtection="1">
      <alignment horizontal="center" vertical="top" wrapText="1"/>
      <protection hidden="1"/>
    </xf>
    <xf numFmtId="0" fontId="51" fillId="6" borderId="0" xfId="0" applyFont="1" applyFill="1" applyBorder="1" applyAlignment="1" applyProtection="1">
      <alignment horizontal="center" vertical="center"/>
      <protection hidden="1"/>
    </xf>
    <xf numFmtId="0" fontId="26" fillId="2" borderId="0" xfId="0" applyFont="1" applyFill="1" applyBorder="1" applyAlignment="1" applyProtection="1">
      <alignment horizontal="left" vertical="center" wrapText="1"/>
      <protection hidden="1"/>
    </xf>
    <xf numFmtId="0" fontId="26" fillId="2" borderId="0" xfId="0" quotePrefix="1" applyFont="1" applyFill="1" applyBorder="1" applyAlignment="1" applyProtection="1">
      <alignment horizontal="left" vertical="center" wrapText="1"/>
      <protection hidden="1"/>
    </xf>
    <xf numFmtId="0" fontId="53" fillId="0" borderId="0" xfId="0" applyFont="1" applyBorder="1" applyAlignment="1" applyProtection="1">
      <alignment vertical="top" wrapText="1"/>
      <protection hidden="1"/>
    </xf>
    <xf numFmtId="0" fontId="53" fillId="0" borderId="0" xfId="0" applyFont="1" applyFill="1" applyBorder="1" applyAlignment="1" applyProtection="1">
      <alignment vertical="top" wrapText="1"/>
      <protection hidden="1"/>
    </xf>
    <xf numFmtId="0" fontId="46" fillId="5" borderId="70" xfId="0" applyFont="1" applyFill="1" applyBorder="1" applyAlignment="1" applyProtection="1">
      <alignment horizontal="center" vertical="center" wrapText="1"/>
      <protection hidden="1"/>
    </xf>
    <xf numFmtId="0" fontId="46" fillId="5" borderId="71" xfId="0" applyFont="1" applyFill="1" applyBorder="1" applyAlignment="1" applyProtection="1">
      <alignment horizontal="center" vertical="center" wrapText="1"/>
      <protection hidden="1"/>
    </xf>
    <xf numFmtId="0" fontId="46" fillId="5" borderId="67" xfId="0" quotePrefix="1" applyFont="1" applyFill="1" applyBorder="1" applyAlignment="1" applyProtection="1">
      <alignment horizontal="center" vertical="center" wrapText="1"/>
      <protection hidden="1"/>
    </xf>
    <xf numFmtId="0" fontId="46" fillId="5" borderId="52" xfId="0" quotePrefix="1" applyFont="1" applyFill="1" applyBorder="1" applyAlignment="1" applyProtection="1">
      <alignment horizontal="center" vertical="center" wrapText="1"/>
      <protection hidden="1"/>
    </xf>
    <xf numFmtId="0" fontId="46" fillId="5" borderId="68" xfId="0" applyFont="1" applyFill="1" applyBorder="1" applyAlignment="1" applyProtection="1">
      <alignment horizontal="center" vertical="center" wrapText="1"/>
      <protection hidden="1"/>
    </xf>
    <xf numFmtId="0" fontId="46" fillId="5" borderId="69" xfId="0" applyFont="1" applyFill="1" applyBorder="1" applyAlignment="1" applyProtection="1">
      <alignment horizontal="center" vertical="center" wrapText="1"/>
      <protection hidden="1"/>
    </xf>
    <xf numFmtId="0" fontId="46" fillId="5" borderId="75" xfId="0" applyFont="1" applyFill="1" applyBorder="1" applyAlignment="1" applyProtection="1">
      <alignment horizontal="center" vertical="center" wrapText="1"/>
      <protection hidden="1"/>
    </xf>
    <xf numFmtId="0" fontId="103" fillId="5" borderId="68" xfId="0" applyFont="1" applyFill="1" applyBorder="1" applyAlignment="1" applyProtection="1">
      <alignment horizontal="center" vertical="center" wrapText="1"/>
      <protection hidden="1"/>
    </xf>
    <xf numFmtId="0" fontId="103" fillId="5" borderId="75" xfId="0" applyFont="1" applyFill="1" applyBorder="1" applyAlignment="1" applyProtection="1">
      <alignment horizontal="center" vertical="center" wrapText="1"/>
      <protection hidden="1"/>
    </xf>
    <xf numFmtId="0" fontId="53" fillId="0" borderId="0" xfId="0" applyFont="1" applyBorder="1" applyAlignment="1" applyProtection="1">
      <alignment horizontal="justify" vertical="top" wrapText="1"/>
      <protection hidden="1"/>
    </xf>
    <xf numFmtId="0" fontId="66" fillId="15" borderId="62" xfId="0" applyFont="1" applyFill="1" applyBorder="1" applyAlignment="1" applyProtection="1">
      <alignment horizontal="center" vertical="center" wrapText="1"/>
      <protection hidden="1"/>
    </xf>
    <xf numFmtId="0" fontId="66" fillId="15" borderId="0" xfId="0" applyFont="1" applyFill="1" applyBorder="1" applyAlignment="1" applyProtection="1">
      <alignment horizontal="center" vertical="center" wrapText="1"/>
      <protection hidden="1"/>
    </xf>
    <xf numFmtId="0" fontId="51" fillId="6" borderId="74" xfId="0" applyFont="1" applyFill="1" applyBorder="1" applyAlignment="1" applyProtection="1">
      <alignment horizontal="center" vertical="center"/>
      <protection hidden="1"/>
    </xf>
    <xf numFmtId="0" fontId="51" fillId="6" borderId="75" xfId="0" applyFont="1" applyFill="1" applyBorder="1" applyAlignment="1" applyProtection="1">
      <alignment horizontal="center" vertical="center"/>
      <protection hidden="1"/>
    </xf>
    <xf numFmtId="0" fontId="46" fillId="5" borderId="72" xfId="0" quotePrefix="1" applyFont="1" applyFill="1" applyBorder="1" applyAlignment="1" applyProtection="1">
      <alignment horizontal="center" vertical="center" wrapText="1"/>
      <protection hidden="1"/>
    </xf>
    <xf numFmtId="0" fontId="46" fillId="5" borderId="73" xfId="0" applyFont="1" applyFill="1" applyBorder="1" applyAlignment="1" applyProtection="1">
      <alignment horizontal="center" vertical="center" wrapText="1"/>
      <protection hidden="1"/>
    </xf>
    <xf numFmtId="0" fontId="53" fillId="0" borderId="0" xfId="0" applyFont="1" applyFill="1" applyBorder="1" applyAlignment="1" applyProtection="1">
      <alignment horizontal="justify" vertical="center" wrapText="1"/>
      <protection hidden="1"/>
    </xf>
    <xf numFmtId="0" fontId="53" fillId="0" borderId="0" xfId="0" applyFont="1" applyFill="1" applyAlignment="1" applyProtection="1">
      <alignment horizontal="justify" vertical="center" wrapText="1"/>
      <protection hidden="1"/>
    </xf>
    <xf numFmtId="0" fontId="53" fillId="0" borderId="0" xfId="0" applyFont="1" applyFill="1" applyAlignment="1" applyProtection="1">
      <alignment horizontal="justify" vertical="top" wrapText="1"/>
      <protection hidden="1"/>
    </xf>
    <xf numFmtId="0" fontId="66" fillId="15" borderId="59" xfId="0" applyFont="1" applyFill="1" applyBorder="1" applyAlignment="1" applyProtection="1">
      <alignment horizontal="center" vertical="center" wrapText="1"/>
      <protection hidden="1"/>
    </xf>
    <xf numFmtId="0" fontId="66" fillId="15" borderId="60" xfId="0" applyFont="1" applyFill="1" applyBorder="1" applyAlignment="1" applyProtection="1">
      <alignment horizontal="center" vertical="center" wrapText="1"/>
      <protection hidden="1"/>
    </xf>
    <xf numFmtId="0" fontId="66" fillId="15" borderId="61" xfId="0" applyFont="1" applyFill="1" applyBorder="1" applyAlignment="1" applyProtection="1">
      <alignment horizontal="center" vertical="center" wrapText="1"/>
      <protection hidden="1"/>
    </xf>
    <xf numFmtId="0" fontId="66" fillId="15" borderId="74" xfId="0" applyFont="1" applyFill="1" applyBorder="1" applyAlignment="1" applyProtection="1">
      <alignment horizontal="center" vertical="center" wrapText="1"/>
      <protection hidden="1"/>
    </xf>
    <xf numFmtId="0" fontId="66" fillId="15" borderId="75" xfId="0" applyFont="1" applyFill="1" applyBorder="1" applyAlignment="1" applyProtection="1">
      <alignment horizontal="center" vertical="center" wrapText="1"/>
      <protection hidden="1"/>
    </xf>
    <xf numFmtId="0" fontId="66" fillId="15" borderId="76" xfId="0" applyFont="1" applyFill="1" applyBorder="1" applyAlignment="1" applyProtection="1">
      <alignment horizontal="center" vertical="center" wrapText="1"/>
      <protection hidden="1"/>
    </xf>
    <xf numFmtId="0" fontId="72" fillId="0" borderId="0" xfId="0" applyFont="1" applyFill="1" applyBorder="1" applyAlignment="1" applyProtection="1">
      <alignment horizontal="left" vertical="center" wrapText="1"/>
      <protection hidden="1"/>
    </xf>
    <xf numFmtId="0" fontId="25" fillId="0" borderId="0" xfId="0" applyFont="1" applyFill="1" applyBorder="1" applyAlignment="1" applyProtection="1">
      <alignment horizontal="left" vertical="center" wrapText="1"/>
      <protection hidden="1"/>
    </xf>
    <xf numFmtId="0" fontId="60" fillId="15" borderId="62" xfId="0" quotePrefix="1" applyFont="1" applyFill="1" applyBorder="1" applyAlignment="1" applyProtection="1">
      <alignment horizontal="center" vertical="center" wrapText="1"/>
      <protection hidden="1"/>
    </xf>
    <xf numFmtId="0" fontId="60" fillId="15" borderId="0" xfId="0" quotePrefix="1" applyFont="1" applyFill="1" applyBorder="1" applyAlignment="1" applyProtection="1">
      <alignment horizontal="center" vertical="center" wrapText="1"/>
      <protection hidden="1"/>
    </xf>
    <xf numFmtId="0" fontId="60" fillId="15" borderId="74" xfId="0" applyFont="1" applyFill="1" applyBorder="1" applyAlignment="1" applyProtection="1">
      <alignment horizontal="center" vertical="center" wrapText="1"/>
      <protection hidden="1"/>
    </xf>
    <xf numFmtId="0" fontId="60" fillId="15" borderId="75" xfId="0" applyFont="1" applyFill="1" applyBorder="1" applyAlignment="1" applyProtection="1">
      <alignment horizontal="center" vertical="center" wrapText="1"/>
      <protection hidden="1"/>
    </xf>
    <xf numFmtId="0" fontId="46" fillId="32" borderId="72" xfId="0" quotePrefix="1" applyFont="1" applyFill="1" applyBorder="1" applyAlignment="1" applyProtection="1">
      <alignment horizontal="center" vertical="center" wrapText="1"/>
      <protection hidden="1"/>
    </xf>
    <xf numFmtId="0" fontId="46" fillId="32" borderId="52" xfId="0" quotePrefix="1" applyFont="1" applyFill="1" applyBorder="1" applyAlignment="1" applyProtection="1">
      <alignment horizontal="center" vertical="center" wrapText="1"/>
      <protection hidden="1"/>
    </xf>
    <xf numFmtId="0" fontId="76" fillId="0" borderId="0" xfId="21" applyFont="1" applyAlignment="1" applyProtection="1">
      <alignment horizontal="justify" vertical="center" wrapText="1"/>
      <protection hidden="1"/>
    </xf>
    <xf numFmtId="0" fontId="60" fillId="6" borderId="77" xfId="0" applyFont="1" applyFill="1" applyBorder="1" applyAlignment="1" applyProtection="1">
      <alignment horizontal="center" vertical="center" wrapText="1"/>
      <protection hidden="1"/>
    </xf>
    <xf numFmtId="0" fontId="60" fillId="6" borderId="78" xfId="0" applyFont="1" applyFill="1" applyBorder="1" applyAlignment="1" applyProtection="1">
      <alignment horizontal="center" vertical="center" wrapText="1"/>
      <protection hidden="1"/>
    </xf>
    <xf numFmtId="0" fontId="60" fillId="6" borderId="83" xfId="0" applyFont="1" applyFill="1" applyBorder="1" applyAlignment="1" applyProtection="1">
      <alignment horizontal="center" vertical="center" wrapText="1"/>
      <protection hidden="1"/>
    </xf>
    <xf numFmtId="0" fontId="60" fillId="6" borderId="84" xfId="0" applyFont="1" applyFill="1" applyBorder="1" applyAlignment="1" applyProtection="1">
      <alignment horizontal="center" vertical="center" wrapText="1"/>
      <protection hidden="1"/>
    </xf>
    <xf numFmtId="0" fontId="46" fillId="5" borderId="80" xfId="0" applyFont="1" applyFill="1" applyBorder="1" applyAlignment="1" applyProtection="1">
      <alignment horizontal="center" vertical="center" wrapText="1"/>
      <protection hidden="1"/>
    </xf>
    <xf numFmtId="0" fontId="46" fillId="5" borderId="81" xfId="0" applyFont="1" applyFill="1" applyBorder="1" applyAlignment="1" applyProtection="1">
      <alignment horizontal="center" vertical="center" wrapText="1"/>
      <protection hidden="1"/>
    </xf>
    <xf numFmtId="0" fontId="46" fillId="5" borderId="82" xfId="0" applyFont="1" applyFill="1" applyBorder="1" applyAlignment="1" applyProtection="1">
      <alignment horizontal="center" vertical="center" wrapText="1"/>
      <protection hidden="1"/>
    </xf>
    <xf numFmtId="0" fontId="46" fillId="5" borderId="85" xfId="0" applyFont="1" applyFill="1" applyBorder="1" applyAlignment="1" applyProtection="1">
      <alignment horizontal="center" vertical="center" wrapText="1"/>
      <protection hidden="1"/>
    </xf>
    <xf numFmtId="0" fontId="46" fillId="5" borderId="57" xfId="0" applyFont="1" applyFill="1" applyBorder="1" applyAlignment="1" applyProtection="1">
      <alignment horizontal="center" vertical="center" wrapText="1"/>
      <protection hidden="1"/>
    </xf>
    <xf numFmtId="0" fontId="53" fillId="0" borderId="0" xfId="0" applyFont="1" applyBorder="1" applyAlignment="1" applyProtection="1">
      <alignment horizontal="justify" vertical="center"/>
      <protection hidden="1"/>
    </xf>
    <xf numFmtId="0" fontId="47" fillId="15" borderId="59" xfId="0" applyFont="1" applyFill="1" applyBorder="1" applyAlignment="1" applyProtection="1">
      <alignment horizontal="center" vertical="center" wrapText="1"/>
      <protection hidden="1"/>
    </xf>
    <xf numFmtId="0" fontId="47" fillId="15" borderId="60" xfId="0" applyFont="1" applyFill="1" applyBorder="1" applyAlignment="1" applyProtection="1">
      <alignment horizontal="center" vertical="center" wrapText="1"/>
      <protection hidden="1"/>
    </xf>
    <xf numFmtId="0" fontId="47" fillId="15" borderId="61" xfId="0" applyFont="1" applyFill="1" applyBorder="1" applyAlignment="1" applyProtection="1">
      <alignment horizontal="center" vertical="center" wrapText="1"/>
      <protection hidden="1"/>
    </xf>
    <xf numFmtId="0" fontId="47" fillId="15" borderId="74" xfId="0" applyFont="1" applyFill="1" applyBorder="1" applyAlignment="1" applyProtection="1">
      <alignment horizontal="center" vertical="center" wrapText="1"/>
      <protection hidden="1"/>
    </xf>
    <xf numFmtId="0" fontId="47" fillId="15" borderId="75" xfId="0" applyFont="1" applyFill="1" applyBorder="1" applyAlignment="1" applyProtection="1">
      <alignment horizontal="center" vertical="center" wrapText="1"/>
      <protection hidden="1"/>
    </xf>
    <xf numFmtId="0" fontId="47" fillId="15" borderId="76" xfId="0" applyFont="1" applyFill="1" applyBorder="1" applyAlignment="1" applyProtection="1">
      <alignment horizontal="center" vertical="center" wrapText="1"/>
      <protection hidden="1"/>
    </xf>
    <xf numFmtId="0" fontId="72" fillId="0" borderId="0" xfId="0" applyFont="1" applyAlignment="1" applyProtection="1">
      <alignment horizontal="center" vertical="center" wrapText="1"/>
      <protection hidden="1"/>
    </xf>
    <xf numFmtId="0" fontId="51" fillId="6" borderId="0" xfId="0" applyFont="1" applyFill="1" applyBorder="1" applyAlignment="1" applyProtection="1">
      <alignment horizontal="center" vertical="center" wrapText="1"/>
      <protection hidden="1"/>
    </xf>
    <xf numFmtId="0" fontId="53" fillId="0" borderId="0" xfId="0" applyFont="1" applyFill="1" applyBorder="1" applyAlignment="1" applyProtection="1">
      <alignment horizontal="left" vertical="center" wrapText="1"/>
      <protection hidden="1"/>
    </xf>
    <xf numFmtId="0" fontId="45" fillId="12" borderId="0" xfId="0" applyFont="1" applyFill="1" applyAlignment="1" applyProtection="1">
      <alignment horizontal="fill" vertical="center" wrapText="1"/>
      <protection hidden="1"/>
    </xf>
    <xf numFmtId="0" fontId="24" fillId="12" borderId="0" xfId="0" applyFont="1" applyFill="1" applyAlignment="1" applyProtection="1">
      <alignment vertical="center" wrapText="1"/>
      <protection hidden="1"/>
    </xf>
    <xf numFmtId="0" fontId="53" fillId="12" borderId="0" xfId="0" applyFont="1" applyFill="1" applyAlignment="1" applyProtection="1">
      <alignment horizontal="left" vertical="top" wrapText="1"/>
      <protection hidden="1"/>
    </xf>
    <xf numFmtId="0" fontId="45" fillId="0" borderId="79" xfId="0" applyFont="1" applyFill="1" applyBorder="1" applyAlignment="1" applyProtection="1">
      <alignment horizontal="left" vertical="center" wrapText="1"/>
      <protection hidden="1"/>
    </xf>
    <xf numFmtId="0" fontId="45" fillId="22" borderId="0" xfId="0" applyFont="1" applyFill="1" applyAlignment="1" applyProtection="1">
      <alignment horizontal="left" vertical="center" wrapText="1"/>
      <protection hidden="1"/>
    </xf>
    <xf numFmtId="166" fontId="49" fillId="2" borderId="0" xfId="24" applyFont="1" applyFill="1" applyAlignment="1" applyProtection="1">
      <alignment horizontal="center" vertical="center"/>
      <protection hidden="1"/>
    </xf>
    <xf numFmtId="0" fontId="53" fillId="2" borderId="0" xfId="0" applyNumberFormat="1" applyFont="1" applyFill="1" applyAlignment="1" applyProtection="1">
      <alignment horizontal="justify" vertical="center" wrapText="1"/>
      <protection hidden="1"/>
    </xf>
    <xf numFmtId="0" fontId="56" fillId="0" borderId="0" xfId="0" applyFont="1" applyFill="1" applyBorder="1" applyAlignment="1" applyProtection="1">
      <alignment horizontal="center" vertical="center" wrapText="1"/>
      <protection hidden="1"/>
    </xf>
    <xf numFmtId="0" fontId="53" fillId="2" borderId="0" xfId="0" quotePrefix="1" applyFont="1" applyFill="1" applyBorder="1" applyAlignment="1" applyProtection="1">
      <alignment horizontal="left" vertical="center" wrapText="1"/>
      <protection hidden="1"/>
    </xf>
    <xf numFmtId="166" fontId="61" fillId="2" borderId="0" xfId="24" applyFont="1" applyFill="1" applyAlignment="1" applyProtection="1">
      <alignment horizontal="center" vertical="center"/>
      <protection hidden="1"/>
    </xf>
    <xf numFmtId="166" fontId="61" fillId="2" borderId="0" xfId="24" applyFont="1" applyFill="1" applyAlignment="1" applyProtection="1">
      <alignment horizontal="center" vertical="center" wrapText="1"/>
      <protection hidden="1"/>
    </xf>
    <xf numFmtId="0" fontId="53" fillId="0" borderId="0" xfId="0" applyFont="1" applyAlignment="1" applyProtection="1">
      <alignment horizontal="left" vertical="center" wrapText="1"/>
      <protection hidden="1"/>
    </xf>
    <xf numFmtId="0" fontId="53" fillId="0" borderId="0" xfId="0" applyFont="1" applyAlignment="1" applyProtection="1">
      <alignment horizontal="justify" vertical="center" wrapText="1"/>
      <protection hidden="1"/>
    </xf>
  </cellXfs>
  <cellStyles count="33">
    <cellStyle name="Comma0 - Modelo1" xfId="1"/>
    <cellStyle name="Comma0 - Style1" xfId="2"/>
    <cellStyle name="Comma1 - Modelo2" xfId="3"/>
    <cellStyle name="Comma1 - Style2" xfId="4"/>
    <cellStyle name="Dia" xfId="5"/>
    <cellStyle name="Encabez1" xfId="6"/>
    <cellStyle name="Encabez2" xfId="7"/>
    <cellStyle name="F2" xfId="8"/>
    <cellStyle name="F3" xfId="9"/>
    <cellStyle name="F4" xfId="10"/>
    <cellStyle name="F5" xfId="11"/>
    <cellStyle name="F6" xfId="12"/>
    <cellStyle name="F7" xfId="13"/>
    <cellStyle name="F8" xfId="14"/>
    <cellStyle name="Fijo" xfId="15"/>
    <cellStyle name="Financiero" xfId="16"/>
    <cellStyle name="Millares" xfId="17" builtinId="3"/>
    <cellStyle name="Millares [0]" xfId="31" builtinId="6"/>
    <cellStyle name="Millares 2" xfId="18"/>
    <cellStyle name="Moneda [0]" xfId="32" builtinId="7"/>
    <cellStyle name="Monetario" xfId="19"/>
    <cellStyle name="no dec" xfId="20"/>
    <cellStyle name="Normal" xfId="0" builtinId="0"/>
    <cellStyle name="Normal 2" xfId="21"/>
    <cellStyle name="Normal 3" xfId="30"/>
    <cellStyle name="Normal 4" xfId="22"/>
    <cellStyle name="Normal_DdasEG-0204" xfId="23"/>
    <cellStyle name="Normal_SUPER Jul 13 96" xfId="24"/>
    <cellStyle name="Porcentaje" xfId="25"/>
    <cellStyle name="Porcentual 2 2" xfId="26"/>
    <cellStyle name="Priceheader" xfId="27"/>
    <cellStyle name="RM" xfId="28"/>
    <cellStyle name="Total" xfId="29" builtinId="25" customBuiltin="1"/>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31750</xdr:colOff>
      <xdr:row>0</xdr:row>
      <xdr:rowOff>158750</xdr:rowOff>
    </xdr:from>
    <xdr:to>
      <xdr:col>16</xdr:col>
      <xdr:colOff>1981880</xdr:colOff>
      <xdr:row>2</xdr:row>
      <xdr:rowOff>15845</xdr:rowOff>
    </xdr:to>
    <xdr:pic>
      <xdr:nvPicPr>
        <xdr:cNvPr id="3" name="Imagen 2"/>
        <xdr:cNvPicPr>
          <a:picLocks noChangeAspect="1"/>
        </xdr:cNvPicPr>
      </xdr:nvPicPr>
      <xdr:blipFill>
        <a:blip xmlns:r="http://schemas.openxmlformats.org/officeDocument/2006/relationships" r:embed="rId1"/>
        <a:stretch>
          <a:fillRect/>
        </a:stretch>
      </xdr:blipFill>
      <xdr:spPr>
        <a:xfrm>
          <a:off x="18065750" y="158750"/>
          <a:ext cx="3019048" cy="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108857</xdr:colOff>
      <xdr:row>3</xdr:row>
      <xdr:rowOff>156483</xdr:rowOff>
    </xdr:from>
    <xdr:to>
      <xdr:col>4</xdr:col>
      <xdr:colOff>564696</xdr:colOff>
      <xdr:row>6</xdr:row>
      <xdr:rowOff>0</xdr:rowOff>
    </xdr:to>
    <xdr:sp macro="" textlink="">
      <xdr:nvSpPr>
        <xdr:cNvPr id="2" name="1 Flecha izquierda"/>
        <xdr:cNvSpPr/>
      </xdr:nvSpPr>
      <xdr:spPr>
        <a:xfrm>
          <a:off x="3966482" y="483054"/>
          <a:ext cx="455839" cy="3333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4</xdr:col>
      <xdr:colOff>653126</xdr:colOff>
      <xdr:row>3</xdr:row>
      <xdr:rowOff>13605</xdr:rowOff>
    </xdr:from>
    <xdr:ext cx="2422071" cy="609013"/>
    <xdr:sp macro="" textlink="">
      <xdr:nvSpPr>
        <xdr:cNvPr id="3" name="2 CuadroTexto"/>
        <xdr:cNvSpPr txBox="1"/>
      </xdr:nvSpPr>
      <xdr:spPr>
        <a:xfrm>
          <a:off x="4510751" y="340176"/>
          <a:ext cx="2422071"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100"/>
            <a:t>Actualizar estos datos</a:t>
          </a:r>
          <a:r>
            <a:rPr lang="es-CO" sz="1100" baseline="0"/>
            <a:t> para el cálculo automático del impuesto Nacional en el archivo.</a:t>
          </a:r>
          <a:endParaRPr lang="es-CO"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0992869\precios\DOCUME~1\e0939709\CONFIG~1\Temp\precios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992774a\PRECIOS\DOCUME~1\e0939709\CONFIG~1\Temp\precios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0992869\precios\Constancita\HOJA%20DIARIA\HD%202003\Hoja%20Diaria%20Nuev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0992774a\PRECIOS\Constancita\HOJA%20DIARIA\HD%202003\Hoja%20Diaria%20Nuev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0992869\precios\MERYVENT\ZZZ.MERCA.GQ\MERCADEO\POLITICA%20DE%20PRECIOS\PRECIOS%20MARZO%202003\precios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0992774a\PRECIOS\MERYVENT\ZZZ.MERCA.GQ\MERCADEO\POLITICA%20DE%20PRECIOS\PRECIOS%20MARZO%202003\precios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0992869\precios\DOCUME~1\e0448394\CONFIG~1\Temp\precios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0992774a\PRECIOS\DOCUME~1\e0448394\CONFIG~1\Temp\precios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GRE_GPI%20PRECIOS\COMBUSTIBLES\Anual\ZCFB_TTE%20BIO_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DATOS"/>
      <sheetName val="ENE_JUN"/>
      <sheetName val="Puntos"/>
      <sheetName val="General"/>
      <sheetName val="Enero-2010"/>
      <sheetName val="Febrero-2010"/>
      <sheetName val="Marzo-2010"/>
      <sheetName val="PYGUPT"/>
      <sheetName val="TABLAS"/>
      <sheetName val="TABLA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
      <sheetName val="WS CLEAN"/>
      <sheetName val="RICS NUEVA HOJA DIARIA"/>
      <sheetName val="HOJA DIARIA NUEVA"/>
    </sheetNames>
    <sheetDataSet>
      <sheetData sheetId="0" refreshError="1"/>
      <sheetData sheetId="1" refreshError="1"/>
      <sheetData sheetId="2"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row>
        <row r="2">
          <cell r="U2" t="str">
            <v>REUTERS</v>
          </cell>
          <cell r="V2" t="str">
            <v>REUTERS</v>
          </cell>
        </row>
        <row r="3">
          <cell r="B3" t="str">
            <v>PROPANO</v>
          </cell>
          <cell r="C3" t="str">
            <v>BUTANO</v>
          </cell>
          <cell r="D3" t="str">
            <v>UNL87</v>
          </cell>
          <cell r="E3" t="str">
            <v>UNL93</v>
          </cell>
          <cell r="F3" t="str">
            <v>WS</v>
          </cell>
          <cell r="G3" t="str">
            <v>NAFTA</v>
          </cell>
          <cell r="H3" t="str">
            <v>JET54</v>
          </cell>
          <cell r="I3" t="str">
            <v>DIESEL</v>
          </cell>
          <cell r="J3" t="str">
            <v xml:space="preserve">FUEL OIL </v>
          </cell>
          <cell r="K3" t="str">
            <v>Cusiana</v>
          </cell>
          <cell r="L3" t="str">
            <v>WTI mes1</v>
          </cell>
          <cell r="M3" t="str">
            <v>WTI mes1</v>
          </cell>
          <cell r="N3" t="str">
            <v>CAÑO</v>
          </cell>
          <cell r="O3" t="str">
            <v>Dated</v>
          </cell>
          <cell r="P3" t="str">
            <v>WTI 2nd</v>
          </cell>
          <cell r="Q3" t="str">
            <v>Vasconia</v>
          </cell>
          <cell r="R3" t="str">
            <v>No. 2 USGC</v>
          </cell>
          <cell r="S3" t="str">
            <v>No.6 1% S</v>
          </cell>
          <cell r="T3" t="str">
            <v xml:space="preserve">No.6 3%S </v>
          </cell>
          <cell r="U3" t="str">
            <v>FLETE 70 DWT</v>
          </cell>
          <cell r="V3" t="str">
            <v>FLETE 50 DWT</v>
          </cell>
          <cell r="W3" t="str">
            <v xml:space="preserve">NO.6  0.3% S </v>
          </cell>
          <cell r="X3" t="str">
            <v>UNL87</v>
          </cell>
          <cell r="Y3" t="str">
            <v>UNL93</v>
          </cell>
        </row>
        <row r="4">
          <cell r="B4" t="str">
            <v>Mt.Belvieu</v>
          </cell>
          <cell r="C4" t="str">
            <v>Mt.Belvieu</v>
          </cell>
          <cell r="D4" t="str">
            <v>USGC</v>
          </cell>
          <cell r="E4" t="str">
            <v>USGC</v>
          </cell>
          <cell r="F4" t="str">
            <v>CLEAN</v>
          </cell>
          <cell r="G4" t="str">
            <v>USGC</v>
          </cell>
          <cell r="H4" t="str">
            <v>USGC</v>
          </cell>
          <cell r="I4" t="str">
            <v>USGC</v>
          </cell>
          <cell r="J4" t="str">
            <v xml:space="preserve"> NY 1%S</v>
          </cell>
          <cell r="L4" t="str">
            <v>Cushing</v>
          </cell>
          <cell r="M4" t="str">
            <v xml:space="preserve"> NYMEX</v>
          </cell>
          <cell r="N4" t="str">
            <v>LIMON</v>
          </cell>
          <cell r="O4" t="str">
            <v>Brent</v>
          </cell>
          <cell r="P4" t="str">
            <v>Month</v>
          </cell>
          <cell r="R4" t="str">
            <v>LS</v>
          </cell>
          <cell r="S4" t="str">
            <v>USGC</v>
          </cell>
          <cell r="T4" t="str">
            <v>USGC</v>
          </cell>
          <cell r="U4" t="str">
            <v>USGC</v>
          </cell>
          <cell r="V4" t="str">
            <v>USAC</v>
          </cell>
          <cell r="W4" t="str">
            <v>NY</v>
          </cell>
          <cell r="X4" t="str">
            <v>9 RVP USGC</v>
          </cell>
          <cell r="Y4" t="str">
            <v>9 RVP USGC</v>
          </cell>
        </row>
        <row r="5">
          <cell r="B5" t="str">
            <v>PMAAY00</v>
          </cell>
          <cell r="C5" t="str">
            <v>PMAAI00</v>
          </cell>
          <cell r="D5" t="str">
            <v>PGACU00</v>
          </cell>
          <cell r="E5" t="str">
            <v>PGAIX00</v>
          </cell>
          <cell r="F5" t="str">
            <v>PFACC10</v>
          </cell>
          <cell r="G5" t="str">
            <v>PAAAC00</v>
          </cell>
          <cell r="H5" t="str">
            <v>PJABM00</v>
          </cell>
          <cell r="I5" t="str">
            <v>POAEE00</v>
          </cell>
          <cell r="J5" t="str">
            <v>PUAAO00</v>
          </cell>
          <cell r="K5" t="str">
            <v>PCAGL00</v>
          </cell>
          <cell r="L5" t="str">
            <v>PCACG00</v>
          </cell>
          <cell r="M5" t="str">
            <v>CLc1</v>
          </cell>
          <cell r="N5" t="str">
            <v>PCADM00</v>
          </cell>
          <cell r="O5" t="str">
            <v>PCAAS00</v>
          </cell>
          <cell r="P5" t="str">
            <v>PCACH00</v>
          </cell>
          <cell r="Q5" t="str">
            <v>PCAGI00</v>
          </cell>
          <cell r="R5" t="str">
            <v>POAES00</v>
          </cell>
          <cell r="S5" t="str">
            <v>PUAAI00</v>
          </cell>
          <cell r="T5" t="str">
            <v>PUAFZ00</v>
          </cell>
          <cell r="U5" t="str">
            <v>PFALU10</v>
          </cell>
          <cell r="V5" t="str">
            <v>DFRT-CAR-US-FO</v>
          </cell>
          <cell r="W5" t="str">
            <v>PUAAE00</v>
          </cell>
          <cell r="X5" t="str">
            <v>PGAAC00</v>
          </cell>
          <cell r="Y5" t="str">
            <v>PGAJF00</v>
          </cell>
        </row>
        <row r="6">
          <cell r="A6" t="str">
            <v>Time stamp</v>
          </cell>
          <cell r="B6" t="str">
            <v>CLOSE</v>
          </cell>
          <cell r="C6" t="str">
            <v>CLOSE</v>
          </cell>
          <cell r="D6" t="str">
            <v>CLOSE</v>
          </cell>
          <cell r="E6" t="str">
            <v>CLOSE</v>
          </cell>
          <cell r="F6" t="str">
            <v>CLOSE</v>
          </cell>
          <cell r="G6" t="str">
            <v>CLOSE</v>
          </cell>
          <cell r="H6" t="str">
            <v>CLOSE</v>
          </cell>
          <cell r="I6" t="str">
            <v>CLOSE</v>
          </cell>
          <cell r="J6" t="str">
            <v>CLOSE</v>
          </cell>
          <cell r="K6" t="str">
            <v>CLOSE</v>
          </cell>
          <cell r="L6" t="str">
            <v>CLOSE</v>
          </cell>
          <cell r="M6" t="str">
            <v>CLOSE</v>
          </cell>
          <cell r="N6" t="str">
            <v>CLOSE</v>
          </cell>
          <cell r="O6" t="str">
            <v>CLOSE</v>
          </cell>
          <cell r="P6" t="str">
            <v>CLOSE</v>
          </cell>
          <cell r="Q6" t="str">
            <v>CLOSE</v>
          </cell>
          <cell r="R6" t="str">
            <v>CLOSE</v>
          </cell>
          <cell r="S6" t="str">
            <v>CLOSE</v>
          </cell>
          <cell r="T6" t="str">
            <v>CLOSE</v>
          </cell>
          <cell r="U6" t="str">
            <v>CLOSE</v>
          </cell>
          <cell r="V6" t="str">
            <v>CLOSE</v>
          </cell>
          <cell r="W6" t="str">
            <v>CLOSE</v>
          </cell>
          <cell r="X6" t="str">
            <v>CLOSE</v>
          </cell>
          <cell r="Y6" t="str">
            <v>CLOSE</v>
          </cell>
        </row>
        <row r="7">
          <cell r="A7">
            <v>37642</v>
          </cell>
          <cell r="B7">
            <v>59.625</v>
          </cell>
          <cell r="C7">
            <v>76.75</v>
          </cell>
          <cell r="D7">
            <v>87.625</v>
          </cell>
          <cell r="E7">
            <v>92</v>
          </cell>
          <cell r="F7">
            <v>245</v>
          </cell>
          <cell r="G7">
            <v>88.125</v>
          </cell>
          <cell r="H7">
            <v>87.724999999999895</v>
          </cell>
          <cell r="I7">
            <v>87.4</v>
          </cell>
          <cell r="J7">
            <v>32.274999999999999</v>
          </cell>
          <cell r="K7">
            <v>34.185000000000002</v>
          </cell>
          <cell r="L7">
            <v>34.31</v>
          </cell>
          <cell r="M7">
            <v>34.61</v>
          </cell>
          <cell r="N7">
            <v>31.635000000000002</v>
          </cell>
          <cell r="O7">
            <v>31.54</v>
          </cell>
          <cell r="P7">
            <v>32.96</v>
          </cell>
          <cell r="Q7">
            <v>31.234999999999999</v>
          </cell>
          <cell r="R7">
            <v>87.5</v>
          </cell>
          <cell r="S7">
            <v>31.75</v>
          </cell>
          <cell r="T7">
            <v>31.25</v>
          </cell>
          <cell r="U7">
            <v>105</v>
          </cell>
          <cell r="V7">
            <v>181.5</v>
          </cell>
          <cell r="W7">
            <v>38.375</v>
          </cell>
        </row>
        <row r="8">
          <cell r="A8">
            <v>37638</v>
          </cell>
          <cell r="B8">
            <v>60.125</v>
          </cell>
          <cell r="C8">
            <v>77.5</v>
          </cell>
          <cell r="D8">
            <v>88.724999999999895</v>
          </cell>
          <cell r="E8">
            <v>92.349999999999895</v>
          </cell>
          <cell r="F8">
            <v>240</v>
          </cell>
          <cell r="G8">
            <v>90.724999999999895</v>
          </cell>
          <cell r="H8">
            <v>88.15</v>
          </cell>
          <cell r="I8">
            <v>87.55</v>
          </cell>
          <cell r="J8">
            <v>32.274999999999999</v>
          </cell>
          <cell r="K8">
            <v>34.56</v>
          </cell>
          <cell r="L8">
            <v>34.1</v>
          </cell>
          <cell r="M8">
            <v>33.909999999999997</v>
          </cell>
          <cell r="N8">
            <v>31.96</v>
          </cell>
          <cell r="O8">
            <v>32.33</v>
          </cell>
          <cell r="P8">
            <v>33.284999999999997</v>
          </cell>
          <cell r="Q8">
            <v>31.56</v>
          </cell>
          <cell r="R8">
            <v>87.7</v>
          </cell>
          <cell r="S8">
            <v>32.25</v>
          </cell>
          <cell r="T8">
            <v>31.75</v>
          </cell>
          <cell r="U8">
            <v>105</v>
          </cell>
          <cell r="V8">
            <v>181.5</v>
          </cell>
          <cell r="W8">
            <v>37.5</v>
          </cell>
          <cell r="X8">
            <v>90.15</v>
          </cell>
          <cell r="Y8">
            <v>102.9</v>
          </cell>
        </row>
        <row r="9">
          <cell r="A9">
            <v>37637</v>
          </cell>
          <cell r="B9">
            <v>60.25</v>
          </cell>
          <cell r="C9">
            <v>77.25</v>
          </cell>
          <cell r="D9">
            <v>87.875</v>
          </cell>
          <cell r="E9">
            <v>91.5</v>
          </cell>
          <cell r="F9">
            <v>240</v>
          </cell>
          <cell r="G9">
            <v>89.875</v>
          </cell>
          <cell r="H9">
            <v>88.174999999999997</v>
          </cell>
          <cell r="I9">
            <v>87.025000000000006</v>
          </cell>
          <cell r="J9">
            <v>32.4</v>
          </cell>
          <cell r="K9">
            <v>33.99</v>
          </cell>
          <cell r="L9">
            <v>33.594999999999999</v>
          </cell>
          <cell r="M9">
            <v>33.659999999999997</v>
          </cell>
          <cell r="N9">
            <v>31.39</v>
          </cell>
          <cell r="O9">
            <v>31.984999999999999</v>
          </cell>
          <cell r="P9">
            <v>32.715000000000003</v>
          </cell>
          <cell r="Q9">
            <v>30.99</v>
          </cell>
          <cell r="R9">
            <v>87.4</v>
          </cell>
          <cell r="S9">
            <v>32.35</v>
          </cell>
          <cell r="T9">
            <v>32.25</v>
          </cell>
          <cell r="U9">
            <v>105</v>
          </cell>
          <cell r="V9">
            <v>182</v>
          </cell>
          <cell r="W9">
            <v>37.5</v>
          </cell>
          <cell r="X9">
            <v>91.15</v>
          </cell>
          <cell r="Y9">
            <v>102.15</v>
          </cell>
        </row>
        <row r="10">
          <cell r="A10">
            <v>37636</v>
          </cell>
          <cell r="B10">
            <v>58.625</v>
          </cell>
          <cell r="C10">
            <v>74.5</v>
          </cell>
          <cell r="D10">
            <v>87.45</v>
          </cell>
          <cell r="E10">
            <v>91.2</v>
          </cell>
          <cell r="F10">
            <v>240</v>
          </cell>
          <cell r="G10">
            <v>89.45</v>
          </cell>
          <cell r="H10">
            <v>89.15</v>
          </cell>
          <cell r="I10">
            <v>88.375</v>
          </cell>
          <cell r="J10">
            <v>31.925000000000001</v>
          </cell>
          <cell r="K10">
            <v>33.53</v>
          </cell>
          <cell r="L10">
            <v>33.075000000000003</v>
          </cell>
          <cell r="M10">
            <v>33.21</v>
          </cell>
          <cell r="N10">
            <v>30.93</v>
          </cell>
          <cell r="O10">
            <v>32.174999999999997</v>
          </cell>
          <cell r="P10">
            <v>32.255000000000003</v>
          </cell>
          <cell r="Q10">
            <v>30.53</v>
          </cell>
          <cell r="R10">
            <v>88.924999999999997</v>
          </cell>
          <cell r="S10">
            <v>32</v>
          </cell>
          <cell r="T10">
            <v>31.6</v>
          </cell>
          <cell r="U10">
            <v>112</v>
          </cell>
          <cell r="V10">
            <v>180</v>
          </cell>
          <cell r="W10">
            <v>36.875</v>
          </cell>
          <cell r="X10">
            <v>90.724999999999895</v>
          </cell>
          <cell r="Y10">
            <v>100.72499999999999</v>
          </cell>
        </row>
        <row r="11">
          <cell r="A11">
            <v>37635</v>
          </cell>
          <cell r="B11">
            <v>57.5</v>
          </cell>
          <cell r="C11">
            <v>74</v>
          </cell>
          <cell r="D11">
            <v>86.4</v>
          </cell>
          <cell r="E11">
            <v>90.275000000000006</v>
          </cell>
          <cell r="F11">
            <v>240</v>
          </cell>
          <cell r="G11">
            <v>88.4</v>
          </cell>
          <cell r="H11">
            <v>87.849999999999895</v>
          </cell>
          <cell r="I11">
            <v>86.9</v>
          </cell>
          <cell r="J11">
            <v>30.875</v>
          </cell>
          <cell r="K11">
            <v>33.005000000000003</v>
          </cell>
          <cell r="L11">
            <v>32.369999999999997</v>
          </cell>
          <cell r="M11">
            <v>32.369999999999997</v>
          </cell>
          <cell r="N11">
            <v>30.454999999999998</v>
          </cell>
          <cell r="O11">
            <v>32.034999999999997</v>
          </cell>
          <cell r="P11">
            <v>31.78</v>
          </cell>
          <cell r="Q11">
            <v>30.055</v>
          </cell>
          <cell r="R11">
            <v>87.5</v>
          </cell>
          <cell r="S11">
            <v>31.125</v>
          </cell>
          <cell r="T11">
            <v>31</v>
          </cell>
          <cell r="U11">
            <v>112</v>
          </cell>
          <cell r="V11">
            <v>180</v>
          </cell>
          <cell r="W11">
            <v>36.125</v>
          </cell>
          <cell r="X11">
            <v>87.349999999999895</v>
          </cell>
          <cell r="Y11">
            <v>99.349999999999895</v>
          </cell>
        </row>
        <row r="12">
          <cell r="A12">
            <v>37634</v>
          </cell>
          <cell r="B12">
            <v>56.5</v>
          </cell>
          <cell r="C12">
            <v>71.75</v>
          </cell>
          <cell r="D12">
            <v>87.15</v>
          </cell>
          <cell r="E12">
            <v>91.15</v>
          </cell>
          <cell r="F12">
            <v>240</v>
          </cell>
          <cell r="G12">
            <v>89.15</v>
          </cell>
          <cell r="H12">
            <v>87.05</v>
          </cell>
          <cell r="I12">
            <v>86.224999999999895</v>
          </cell>
          <cell r="J12">
            <v>30.125</v>
          </cell>
          <cell r="K12">
            <v>32.659999999999997</v>
          </cell>
          <cell r="L12">
            <v>32.134999999999998</v>
          </cell>
          <cell r="M12">
            <v>32.26</v>
          </cell>
          <cell r="N12">
            <v>30.11</v>
          </cell>
          <cell r="O12">
            <v>31.76</v>
          </cell>
          <cell r="P12">
            <v>31.434999999999999</v>
          </cell>
          <cell r="Q12">
            <v>29.71</v>
          </cell>
          <cell r="R12">
            <v>86.775000000000006</v>
          </cell>
          <cell r="S12">
            <v>30.75</v>
          </cell>
          <cell r="T12">
            <v>30.75</v>
          </cell>
          <cell r="U12">
            <v>110</v>
          </cell>
          <cell r="V12">
            <v>180</v>
          </cell>
          <cell r="W12">
            <v>36.125</v>
          </cell>
          <cell r="X12">
            <v>84.45</v>
          </cell>
          <cell r="Y12">
            <v>93.45</v>
          </cell>
        </row>
        <row r="13">
          <cell r="A13">
            <v>37631</v>
          </cell>
          <cell r="B13">
            <v>55.375</v>
          </cell>
          <cell r="C13">
            <v>71</v>
          </cell>
          <cell r="D13">
            <v>83.55</v>
          </cell>
          <cell r="E13">
            <v>86.3</v>
          </cell>
          <cell r="F13">
            <v>235</v>
          </cell>
          <cell r="G13">
            <v>85.55</v>
          </cell>
          <cell r="H13">
            <v>84.724999999999895</v>
          </cell>
          <cell r="I13">
            <v>84.275000000000006</v>
          </cell>
          <cell r="J13">
            <v>29.4</v>
          </cell>
          <cell r="K13">
            <v>32.28</v>
          </cell>
          <cell r="L13">
            <v>31.805</v>
          </cell>
          <cell r="M13">
            <v>31.68</v>
          </cell>
          <cell r="N13">
            <v>29.68</v>
          </cell>
          <cell r="O13">
            <v>30.954999999999998</v>
          </cell>
          <cell r="P13">
            <v>31.004999999999999</v>
          </cell>
          <cell r="Q13">
            <v>29.28</v>
          </cell>
          <cell r="R13">
            <v>84.625</v>
          </cell>
          <cell r="S13">
            <v>30.25</v>
          </cell>
          <cell r="T13">
            <v>29.75</v>
          </cell>
          <cell r="U13">
            <v>135</v>
          </cell>
          <cell r="V13">
            <v>185</v>
          </cell>
          <cell r="W13">
            <v>35.5</v>
          </cell>
          <cell r="X13">
            <v>83.599999999999895</v>
          </cell>
          <cell r="Y13">
            <v>92.599999999999895</v>
          </cell>
        </row>
        <row r="14">
          <cell r="A14">
            <v>37630</v>
          </cell>
          <cell r="B14">
            <v>55.5</v>
          </cell>
          <cell r="C14">
            <v>71.25</v>
          </cell>
          <cell r="D14">
            <v>85.25</v>
          </cell>
          <cell r="E14">
            <v>87.875</v>
          </cell>
          <cell r="F14">
            <v>235</v>
          </cell>
          <cell r="G14">
            <v>87.25</v>
          </cell>
          <cell r="H14">
            <v>85.15</v>
          </cell>
          <cell r="I14">
            <v>84.7</v>
          </cell>
          <cell r="J14">
            <v>28.9</v>
          </cell>
          <cell r="K14">
            <v>32.715000000000003</v>
          </cell>
          <cell r="L14">
            <v>32.090000000000003</v>
          </cell>
          <cell r="M14">
            <v>31.99</v>
          </cell>
          <cell r="N14">
            <v>30.114999999999998</v>
          </cell>
          <cell r="O14">
            <v>30.745000000000001</v>
          </cell>
          <cell r="P14">
            <v>31.44</v>
          </cell>
          <cell r="Q14">
            <v>29.715</v>
          </cell>
          <cell r="R14">
            <v>85.025000000000006</v>
          </cell>
          <cell r="S14">
            <v>29.25</v>
          </cell>
          <cell r="T14">
            <v>28.75</v>
          </cell>
          <cell r="U14">
            <v>135</v>
          </cell>
          <cell r="V14">
            <v>182.5</v>
          </cell>
          <cell r="W14">
            <v>35.774999999999999</v>
          </cell>
          <cell r="X14">
            <v>82.224999999999895</v>
          </cell>
          <cell r="Y14">
            <v>91.224999999999895</v>
          </cell>
        </row>
        <row r="15">
          <cell r="A15">
            <v>37629</v>
          </cell>
          <cell r="B15">
            <v>54.5</v>
          </cell>
          <cell r="C15">
            <v>68.625</v>
          </cell>
          <cell r="D15">
            <v>79.375</v>
          </cell>
          <cell r="E15">
            <v>81.875</v>
          </cell>
          <cell r="F15">
            <v>235</v>
          </cell>
          <cell r="G15">
            <v>81.375</v>
          </cell>
          <cell r="H15">
            <v>81.150000000000006</v>
          </cell>
          <cell r="I15">
            <v>80.424999999999997</v>
          </cell>
          <cell r="J15">
            <v>28.1</v>
          </cell>
          <cell r="K15">
            <v>31.515000000000001</v>
          </cell>
          <cell r="L15">
            <v>30.71</v>
          </cell>
          <cell r="M15">
            <v>30.56</v>
          </cell>
          <cell r="N15">
            <v>28.864999999999998</v>
          </cell>
          <cell r="O15">
            <v>30.23</v>
          </cell>
          <cell r="P15">
            <v>30.19</v>
          </cell>
          <cell r="Q15">
            <v>28.465</v>
          </cell>
          <cell r="R15">
            <v>81.075000000000003</v>
          </cell>
          <cell r="S15">
            <v>28.75</v>
          </cell>
          <cell r="T15">
            <v>27.5</v>
          </cell>
          <cell r="U15">
            <v>155</v>
          </cell>
          <cell r="V15">
            <v>182.5</v>
          </cell>
          <cell r="W15">
            <v>34.875</v>
          </cell>
          <cell r="X15">
            <v>84</v>
          </cell>
          <cell r="Y15">
            <v>93</v>
          </cell>
        </row>
        <row r="16">
          <cell r="A16">
            <v>37628</v>
          </cell>
          <cell r="B16">
            <v>55</v>
          </cell>
          <cell r="C16">
            <v>69</v>
          </cell>
          <cell r="D16">
            <v>80.775000000000006</v>
          </cell>
          <cell r="E16">
            <v>82.15</v>
          </cell>
          <cell r="F16">
            <v>220</v>
          </cell>
          <cell r="G16">
            <v>82.775000000000006</v>
          </cell>
          <cell r="H16">
            <v>84.275000000000006</v>
          </cell>
          <cell r="I16">
            <v>82.55</v>
          </cell>
          <cell r="J16">
            <v>28.5</v>
          </cell>
          <cell r="K16">
            <v>31.745000000000001</v>
          </cell>
          <cell r="L16">
            <v>31.15</v>
          </cell>
          <cell r="M16">
            <v>31.08</v>
          </cell>
          <cell r="N16">
            <v>29.295000000000002</v>
          </cell>
          <cell r="O16">
            <v>29.49</v>
          </cell>
          <cell r="P16">
            <v>30.62</v>
          </cell>
          <cell r="Q16">
            <v>28.895</v>
          </cell>
          <cell r="R16">
            <v>83.375</v>
          </cell>
          <cell r="S16">
            <v>28.75</v>
          </cell>
          <cell r="T16">
            <v>27.5</v>
          </cell>
          <cell r="U16">
            <v>160</v>
          </cell>
          <cell r="V16">
            <v>180</v>
          </cell>
          <cell r="W16">
            <v>35.75</v>
          </cell>
          <cell r="X16">
            <v>93.174999999999997</v>
          </cell>
          <cell r="Y16">
            <v>102.175</v>
          </cell>
        </row>
        <row r="17">
          <cell r="A17">
            <v>37627</v>
          </cell>
          <cell r="B17">
            <v>55.875</v>
          </cell>
          <cell r="C17">
            <v>70.5</v>
          </cell>
          <cell r="D17">
            <v>84.95</v>
          </cell>
          <cell r="E17">
            <v>86.325000000000003</v>
          </cell>
          <cell r="F17">
            <v>220</v>
          </cell>
          <cell r="G17">
            <v>86.45</v>
          </cell>
          <cell r="H17">
            <v>88.674999999999997</v>
          </cell>
          <cell r="I17">
            <v>86.7</v>
          </cell>
          <cell r="J17">
            <v>29.074999999999999</v>
          </cell>
          <cell r="K17">
            <v>32.534999999999997</v>
          </cell>
          <cell r="L17">
            <v>32.1</v>
          </cell>
          <cell r="M17">
            <v>32.1</v>
          </cell>
          <cell r="N17">
            <v>30.085000000000001</v>
          </cell>
          <cell r="O17">
            <v>30.87</v>
          </cell>
          <cell r="P17">
            <v>31.41</v>
          </cell>
          <cell r="Q17">
            <v>29.684999999999999</v>
          </cell>
          <cell r="R17">
            <v>87.674999999999997</v>
          </cell>
          <cell r="S17">
            <v>29.125</v>
          </cell>
          <cell r="T17">
            <v>29</v>
          </cell>
          <cell r="U17">
            <v>160</v>
          </cell>
          <cell r="V17">
            <v>180</v>
          </cell>
          <cell r="W17">
            <v>36.75</v>
          </cell>
          <cell r="X17">
            <v>91.424999999999997</v>
          </cell>
          <cell r="Y17">
            <v>99.424999999999997</v>
          </cell>
        </row>
        <row r="18">
          <cell r="A18">
            <v>37624</v>
          </cell>
          <cell r="B18">
            <v>57.25</v>
          </cell>
          <cell r="C18">
            <v>72</v>
          </cell>
          <cell r="D18">
            <v>88.7</v>
          </cell>
          <cell r="E18">
            <v>90.7</v>
          </cell>
          <cell r="F18">
            <v>220</v>
          </cell>
          <cell r="G18">
            <v>89.7</v>
          </cell>
          <cell r="H18">
            <v>92.424999999999997</v>
          </cell>
          <cell r="I18">
            <v>89.7</v>
          </cell>
          <cell r="J18">
            <v>29.15</v>
          </cell>
          <cell r="K18">
            <v>33.284999999999997</v>
          </cell>
          <cell r="L18">
            <v>33.28</v>
          </cell>
          <cell r="M18">
            <v>33.08</v>
          </cell>
          <cell r="N18">
            <v>30.434999999999999</v>
          </cell>
          <cell r="O18">
            <v>31.975000000000001</v>
          </cell>
          <cell r="P18">
            <v>32.409999999999997</v>
          </cell>
          <cell r="Q18">
            <v>30.385000000000002</v>
          </cell>
          <cell r="R18">
            <v>91.099999999999895</v>
          </cell>
          <cell r="S18">
            <v>29.125</v>
          </cell>
          <cell r="T18">
            <v>28.875</v>
          </cell>
          <cell r="U18">
            <v>160</v>
          </cell>
          <cell r="V18">
            <v>180</v>
          </cell>
          <cell r="W18">
            <v>36.875</v>
          </cell>
          <cell r="X18">
            <v>89.825000000000003</v>
          </cell>
          <cell r="Y18">
            <v>97.825000000000003</v>
          </cell>
        </row>
        <row r="19">
          <cell r="A19">
            <v>37623</v>
          </cell>
          <cell r="B19">
            <v>55.75</v>
          </cell>
          <cell r="C19">
            <v>69.75</v>
          </cell>
          <cell r="D19">
            <v>85.875</v>
          </cell>
          <cell r="E19">
            <v>88.75</v>
          </cell>
          <cell r="F19">
            <v>220</v>
          </cell>
          <cell r="G19">
            <v>86.875</v>
          </cell>
          <cell r="H19">
            <v>89.075000000000003</v>
          </cell>
          <cell r="I19">
            <v>86.125</v>
          </cell>
          <cell r="J19">
            <v>28.7</v>
          </cell>
          <cell r="K19">
            <v>32.045000000000002</v>
          </cell>
          <cell r="L19">
            <v>32</v>
          </cell>
          <cell r="M19">
            <v>31.85</v>
          </cell>
          <cell r="N19">
            <v>29.245000000000001</v>
          </cell>
          <cell r="O19">
            <v>32.479999999999997</v>
          </cell>
          <cell r="P19">
            <v>31.22</v>
          </cell>
          <cell r="Q19">
            <v>29.195</v>
          </cell>
          <cell r="R19">
            <v>88.525000000000006</v>
          </cell>
          <cell r="S19">
            <v>29.125</v>
          </cell>
          <cell r="T19">
            <v>27.375</v>
          </cell>
          <cell r="U19">
            <v>160</v>
          </cell>
          <cell r="V19">
            <v>180</v>
          </cell>
          <cell r="W19">
            <v>36.75</v>
          </cell>
          <cell r="X19">
            <v>94.375</v>
          </cell>
          <cell r="Y19">
            <v>102.875</v>
          </cell>
        </row>
        <row r="20">
          <cell r="A20">
            <v>37621</v>
          </cell>
          <cell r="B20">
            <v>54.25</v>
          </cell>
          <cell r="C20">
            <v>68.75</v>
          </cell>
          <cell r="D20">
            <v>84.625</v>
          </cell>
          <cell r="E20">
            <v>87.625</v>
          </cell>
          <cell r="F20">
            <v>220</v>
          </cell>
          <cell r="G20">
            <v>85.625</v>
          </cell>
          <cell r="H20">
            <v>88.724999999999895</v>
          </cell>
          <cell r="I20">
            <v>85.075000000000003</v>
          </cell>
          <cell r="J20">
            <v>28.2</v>
          </cell>
          <cell r="K20">
            <v>31.395</v>
          </cell>
          <cell r="L20">
            <v>31.25</v>
          </cell>
          <cell r="M20">
            <v>31.2</v>
          </cell>
          <cell r="N20">
            <v>28.594999999999999</v>
          </cell>
          <cell r="O20">
            <v>31.07</v>
          </cell>
          <cell r="P20">
            <v>30.57</v>
          </cell>
          <cell r="Q20">
            <v>28.545000000000002</v>
          </cell>
          <cell r="R20">
            <v>87.599999999999895</v>
          </cell>
          <cell r="S20">
            <v>29.125</v>
          </cell>
          <cell r="T20">
            <v>26.5</v>
          </cell>
          <cell r="U20">
            <v>155</v>
          </cell>
          <cell r="V20">
            <v>191</v>
          </cell>
          <cell r="W20">
            <v>35</v>
          </cell>
          <cell r="X20">
            <v>100.22499999999999</v>
          </cell>
          <cell r="Y20">
            <v>108.22499999999999</v>
          </cell>
        </row>
        <row r="21">
          <cell r="A21">
            <v>37620</v>
          </cell>
          <cell r="B21">
            <v>55.25</v>
          </cell>
          <cell r="C21">
            <v>70</v>
          </cell>
          <cell r="D21">
            <v>86.05</v>
          </cell>
          <cell r="E21">
            <v>89.424999999999997</v>
          </cell>
          <cell r="F21">
            <v>220</v>
          </cell>
          <cell r="G21">
            <v>87.05</v>
          </cell>
          <cell r="H21">
            <v>88.775000000000006</v>
          </cell>
          <cell r="I21">
            <v>85.474999999999895</v>
          </cell>
          <cell r="J21">
            <v>28.3</v>
          </cell>
          <cell r="K21">
            <v>31.344999999999999</v>
          </cell>
          <cell r="L21">
            <v>31.3</v>
          </cell>
          <cell r="M21">
            <v>31.37</v>
          </cell>
          <cell r="N21">
            <v>28.545000000000002</v>
          </cell>
          <cell r="O21">
            <v>30.375</v>
          </cell>
          <cell r="P21">
            <v>30.52</v>
          </cell>
          <cell r="Q21">
            <v>28.495000000000001</v>
          </cell>
          <cell r="R21">
            <v>87.474999999999895</v>
          </cell>
          <cell r="S21">
            <v>29.125</v>
          </cell>
          <cell r="T21">
            <v>26.5</v>
          </cell>
          <cell r="U21">
            <v>155</v>
          </cell>
          <cell r="V21">
            <v>191</v>
          </cell>
          <cell r="W21">
            <v>35</v>
          </cell>
          <cell r="X21">
            <v>106.625</v>
          </cell>
          <cell r="Y21">
            <v>116.125</v>
          </cell>
        </row>
        <row r="22">
          <cell r="A22">
            <v>37617</v>
          </cell>
          <cell r="B22">
            <v>55.75</v>
          </cell>
          <cell r="C22">
            <v>70</v>
          </cell>
          <cell r="D22">
            <v>91.325000000000003</v>
          </cell>
          <cell r="E22">
            <v>94.575000000000003</v>
          </cell>
          <cell r="F22">
            <v>220</v>
          </cell>
          <cell r="G22">
            <v>92.325000000000003</v>
          </cell>
          <cell r="H22">
            <v>92.825000000000003</v>
          </cell>
          <cell r="I22">
            <v>89.625</v>
          </cell>
          <cell r="J22">
            <v>29</v>
          </cell>
          <cell r="K22">
            <v>32.695</v>
          </cell>
          <cell r="L22">
            <v>32.619999999999997</v>
          </cell>
          <cell r="M22">
            <v>32.72</v>
          </cell>
          <cell r="N22">
            <v>29.895</v>
          </cell>
          <cell r="O22">
            <v>30.37</v>
          </cell>
          <cell r="P22">
            <v>31.87</v>
          </cell>
          <cell r="Q22">
            <v>29.844999999999999</v>
          </cell>
          <cell r="R22">
            <v>91.775000000000006</v>
          </cell>
          <cell r="S22">
            <v>29.125</v>
          </cell>
          <cell r="T22">
            <v>26.5</v>
          </cell>
          <cell r="U22">
            <v>140</v>
          </cell>
          <cell r="V22">
            <v>191</v>
          </cell>
          <cell r="W22">
            <v>35.125</v>
          </cell>
          <cell r="X22">
            <v>109.825</v>
          </cell>
          <cell r="Y22">
            <v>118.325</v>
          </cell>
        </row>
        <row r="23">
          <cell r="A23">
            <v>37616</v>
          </cell>
          <cell r="B23">
            <v>56.125</v>
          </cell>
          <cell r="C23">
            <v>70.25</v>
          </cell>
          <cell r="D23">
            <v>90.55</v>
          </cell>
          <cell r="E23">
            <v>93.3</v>
          </cell>
          <cell r="F23">
            <v>220</v>
          </cell>
          <cell r="G23">
            <v>90.65</v>
          </cell>
          <cell r="H23">
            <v>92.875</v>
          </cell>
          <cell r="I23">
            <v>88.75</v>
          </cell>
          <cell r="J23">
            <v>29.1</v>
          </cell>
          <cell r="K23">
            <v>32.24</v>
          </cell>
          <cell r="L23">
            <v>32.39</v>
          </cell>
          <cell r="M23">
            <v>32.49</v>
          </cell>
          <cell r="N23">
            <v>29.44</v>
          </cell>
          <cell r="O23">
            <v>31.754999999999999</v>
          </cell>
          <cell r="P23">
            <v>31.414999999999999</v>
          </cell>
          <cell r="Q23">
            <v>29.39</v>
          </cell>
          <cell r="R23">
            <v>91.599999999999895</v>
          </cell>
          <cell r="S23">
            <v>29.125</v>
          </cell>
          <cell r="T23">
            <v>26.25</v>
          </cell>
          <cell r="U23">
            <v>140</v>
          </cell>
          <cell r="V23">
            <v>191</v>
          </cell>
          <cell r="W23">
            <v>35.125</v>
          </cell>
          <cell r="X23">
            <v>102.35</v>
          </cell>
          <cell r="Y23">
            <v>110.35</v>
          </cell>
        </row>
        <row r="24">
          <cell r="A24">
            <v>37614</v>
          </cell>
          <cell r="B24">
            <v>55.625</v>
          </cell>
          <cell r="C24">
            <v>69.75</v>
          </cell>
          <cell r="D24">
            <v>90.15</v>
          </cell>
          <cell r="E24">
            <v>92.525000000000006</v>
          </cell>
          <cell r="F24">
            <v>220</v>
          </cell>
          <cell r="G24">
            <v>90.65</v>
          </cell>
          <cell r="H24">
            <v>91.75</v>
          </cell>
          <cell r="I24">
            <v>88.5</v>
          </cell>
          <cell r="J24">
            <v>29.1</v>
          </cell>
          <cell r="K24">
            <v>32.494999999999997</v>
          </cell>
          <cell r="L24">
            <v>32.57</v>
          </cell>
          <cell r="M24">
            <v>31.97</v>
          </cell>
          <cell r="N24">
            <v>30.295000000000002</v>
          </cell>
          <cell r="O24">
            <v>31.844999999999999</v>
          </cell>
          <cell r="P24">
            <v>32.270000000000003</v>
          </cell>
          <cell r="Q24">
            <v>30.245000000000001</v>
          </cell>
          <cell r="R24">
            <v>90.825000000000003</v>
          </cell>
          <cell r="S24">
            <v>27.875</v>
          </cell>
          <cell r="T24">
            <v>25.625</v>
          </cell>
          <cell r="U24">
            <v>140</v>
          </cell>
          <cell r="V24">
            <v>191</v>
          </cell>
          <cell r="W24">
            <v>34.875</v>
          </cell>
          <cell r="X24">
            <v>105.25</v>
          </cell>
          <cell r="Y24">
            <v>112.25</v>
          </cell>
        </row>
        <row r="25">
          <cell r="A25">
            <v>37613</v>
          </cell>
          <cell r="B25">
            <v>55.625</v>
          </cell>
          <cell r="C25">
            <v>69.75</v>
          </cell>
          <cell r="D25">
            <v>89</v>
          </cell>
          <cell r="E25">
            <v>91.375</v>
          </cell>
          <cell r="F25">
            <v>220</v>
          </cell>
          <cell r="G25">
            <v>89.5</v>
          </cell>
          <cell r="H25">
            <v>90.375</v>
          </cell>
          <cell r="I25">
            <v>87.174999999999997</v>
          </cell>
          <cell r="J25">
            <v>29</v>
          </cell>
          <cell r="K25">
            <v>32.1</v>
          </cell>
          <cell r="L25">
            <v>32.225000000000001</v>
          </cell>
          <cell r="M25">
            <v>31.75</v>
          </cell>
          <cell r="N25">
            <v>29.4</v>
          </cell>
          <cell r="O25">
            <v>31.545000000000002</v>
          </cell>
          <cell r="P25">
            <v>31.875</v>
          </cell>
          <cell r="Q25">
            <v>29.25</v>
          </cell>
          <cell r="R25">
            <v>89.4</v>
          </cell>
          <cell r="S25">
            <v>27.375</v>
          </cell>
          <cell r="T25">
            <v>25.5</v>
          </cell>
          <cell r="U25">
            <v>140</v>
          </cell>
          <cell r="V25">
            <v>191</v>
          </cell>
          <cell r="W25">
            <v>34.875</v>
          </cell>
          <cell r="X25">
            <v>104.175</v>
          </cell>
          <cell r="Y25">
            <v>110.55</v>
          </cell>
        </row>
        <row r="26">
          <cell r="A26">
            <v>37610</v>
          </cell>
          <cell r="B26">
            <v>54.125</v>
          </cell>
          <cell r="C26">
            <v>68.375</v>
          </cell>
          <cell r="D26">
            <v>82.875</v>
          </cell>
          <cell r="E26">
            <v>85</v>
          </cell>
          <cell r="F26">
            <v>220</v>
          </cell>
          <cell r="G26">
            <v>83.875</v>
          </cell>
          <cell r="H26">
            <v>86.8</v>
          </cell>
          <cell r="I26">
            <v>83.45</v>
          </cell>
          <cell r="J26">
            <v>28.225000000000001</v>
          </cell>
          <cell r="K26">
            <v>30.925000000000001</v>
          </cell>
          <cell r="L26">
            <v>31.05</v>
          </cell>
          <cell r="M26">
            <v>30.3</v>
          </cell>
          <cell r="N26">
            <v>28.225000000000001</v>
          </cell>
          <cell r="O26">
            <v>31.66</v>
          </cell>
          <cell r="P26">
            <v>30.7</v>
          </cell>
          <cell r="Q26">
            <v>28.074999999999999</v>
          </cell>
          <cell r="R26">
            <v>83.75</v>
          </cell>
          <cell r="S26">
            <v>26.875</v>
          </cell>
          <cell r="T26">
            <v>23.824999999999999</v>
          </cell>
          <cell r="U26">
            <v>140</v>
          </cell>
          <cell r="V26">
            <v>191</v>
          </cell>
          <cell r="W26">
            <v>34.5</v>
          </cell>
          <cell r="X26">
            <v>104.45</v>
          </cell>
          <cell r="Y26">
            <v>112.45</v>
          </cell>
        </row>
        <row r="27">
          <cell r="A27">
            <v>37609</v>
          </cell>
          <cell r="B27">
            <v>53.75</v>
          </cell>
          <cell r="C27">
            <v>68.5</v>
          </cell>
          <cell r="D27">
            <v>82.575000000000003</v>
          </cell>
          <cell r="E27">
            <v>84.575000000000003</v>
          </cell>
          <cell r="F27">
            <v>220</v>
          </cell>
          <cell r="G27">
            <v>83.575000000000003</v>
          </cell>
          <cell r="H27">
            <v>85.349999999999895</v>
          </cell>
          <cell r="I27">
            <v>83.25</v>
          </cell>
          <cell r="J27">
            <v>28.324999999999999</v>
          </cell>
          <cell r="K27">
            <v>30.414999999999999</v>
          </cell>
          <cell r="L27">
            <v>30.26</v>
          </cell>
          <cell r="M27">
            <v>30.56</v>
          </cell>
          <cell r="N27">
            <v>27.465</v>
          </cell>
          <cell r="O27">
            <v>30.42</v>
          </cell>
          <cell r="P27">
            <v>30.19</v>
          </cell>
          <cell r="Q27">
            <v>27.265000000000001</v>
          </cell>
          <cell r="R27">
            <v>84.05</v>
          </cell>
          <cell r="S27">
            <v>26.875</v>
          </cell>
          <cell r="T27">
            <v>24.125</v>
          </cell>
          <cell r="U27">
            <v>137</v>
          </cell>
          <cell r="V27">
            <v>191</v>
          </cell>
          <cell r="W27">
            <v>34.125</v>
          </cell>
          <cell r="X27">
            <v>100.9</v>
          </cell>
          <cell r="Y27">
            <v>106.9</v>
          </cell>
        </row>
        <row r="28">
          <cell r="A28">
            <v>37608</v>
          </cell>
          <cell r="B28">
            <v>53.875</v>
          </cell>
          <cell r="C28">
            <v>68</v>
          </cell>
          <cell r="D28">
            <v>81.125</v>
          </cell>
          <cell r="E28">
            <v>83.5</v>
          </cell>
          <cell r="F28">
            <v>220</v>
          </cell>
          <cell r="G28">
            <v>81.625</v>
          </cell>
          <cell r="H28">
            <v>83.45</v>
          </cell>
          <cell r="I28">
            <v>82.15</v>
          </cell>
          <cell r="J28">
            <v>27.8</v>
          </cell>
          <cell r="K28">
            <v>30.53</v>
          </cell>
          <cell r="L28">
            <v>30.434999999999999</v>
          </cell>
          <cell r="M28">
            <v>30.44</v>
          </cell>
          <cell r="N28">
            <v>27.68</v>
          </cell>
          <cell r="O28">
            <v>30.16</v>
          </cell>
          <cell r="P28">
            <v>30.405000000000001</v>
          </cell>
          <cell r="Q28">
            <v>27.43</v>
          </cell>
          <cell r="R28">
            <v>82.3</v>
          </cell>
          <cell r="S28">
            <v>27</v>
          </cell>
          <cell r="T28">
            <v>23.425000000000001</v>
          </cell>
          <cell r="U28">
            <v>132</v>
          </cell>
          <cell r="V28">
            <v>180</v>
          </cell>
          <cell r="W28">
            <v>34.125</v>
          </cell>
          <cell r="X28">
            <v>98.474999999999895</v>
          </cell>
          <cell r="Y28">
            <v>104.47499999999999</v>
          </cell>
        </row>
        <row r="29">
          <cell r="A29">
            <v>37607</v>
          </cell>
          <cell r="B29">
            <v>53.625</v>
          </cell>
          <cell r="C29">
            <v>68.125</v>
          </cell>
          <cell r="D29">
            <v>78.650000000000006</v>
          </cell>
          <cell r="E29">
            <v>81.2</v>
          </cell>
          <cell r="F29">
            <v>220</v>
          </cell>
          <cell r="G29">
            <v>79.2</v>
          </cell>
          <cell r="H29">
            <v>81.599999999999895</v>
          </cell>
          <cell r="I29">
            <v>80.7</v>
          </cell>
          <cell r="J29">
            <v>27.375</v>
          </cell>
          <cell r="K29">
            <v>30.03</v>
          </cell>
          <cell r="L29">
            <v>30.015000000000001</v>
          </cell>
          <cell r="M29">
            <v>30.1</v>
          </cell>
          <cell r="N29">
            <v>27.13</v>
          </cell>
          <cell r="O29">
            <v>29.875</v>
          </cell>
          <cell r="P29">
            <v>29.855</v>
          </cell>
          <cell r="Q29">
            <v>26.78</v>
          </cell>
          <cell r="R29">
            <v>80.849999999999895</v>
          </cell>
          <cell r="S29">
            <v>27</v>
          </cell>
          <cell r="T29">
            <v>22.675000000000001</v>
          </cell>
          <cell r="U29">
            <v>132</v>
          </cell>
          <cell r="V29">
            <v>177</v>
          </cell>
          <cell r="W29">
            <v>33.75</v>
          </cell>
          <cell r="X29">
            <v>95.8</v>
          </cell>
          <cell r="Y29">
            <v>101.3</v>
          </cell>
        </row>
        <row r="30">
          <cell r="A30">
            <v>37606</v>
          </cell>
          <cell r="B30">
            <v>54.1875</v>
          </cell>
          <cell r="C30">
            <v>68.25</v>
          </cell>
          <cell r="D30">
            <v>81.875</v>
          </cell>
          <cell r="E30">
            <v>84.875</v>
          </cell>
          <cell r="F30">
            <v>220</v>
          </cell>
          <cell r="G30">
            <v>82.375</v>
          </cell>
          <cell r="H30">
            <v>83.875</v>
          </cell>
          <cell r="I30">
            <v>82.674999999999997</v>
          </cell>
          <cell r="J30">
            <v>27.425000000000001</v>
          </cell>
          <cell r="K30">
            <v>30.26</v>
          </cell>
          <cell r="L30">
            <v>30.12</v>
          </cell>
          <cell r="M30">
            <v>30.1</v>
          </cell>
          <cell r="N30">
            <v>27.31</v>
          </cell>
          <cell r="O30">
            <v>28.95</v>
          </cell>
          <cell r="P30">
            <v>30.035</v>
          </cell>
          <cell r="Q30">
            <v>26.71</v>
          </cell>
          <cell r="R30">
            <v>83.025000000000006</v>
          </cell>
          <cell r="S30">
            <v>27</v>
          </cell>
          <cell r="T30">
            <v>22.125</v>
          </cell>
          <cell r="U30">
            <v>130</v>
          </cell>
          <cell r="V30">
            <v>180</v>
          </cell>
          <cell r="W30">
            <v>33.75</v>
          </cell>
          <cell r="X30">
            <v>92.825000000000003</v>
          </cell>
          <cell r="Y30">
            <v>98.375</v>
          </cell>
        </row>
        <row r="31">
          <cell r="A31">
            <v>37603</v>
          </cell>
          <cell r="B31">
            <v>52.125</v>
          </cell>
          <cell r="C31">
            <v>64</v>
          </cell>
          <cell r="D31">
            <v>78.325000000000003</v>
          </cell>
          <cell r="E31">
            <v>82.075000000000003</v>
          </cell>
          <cell r="F31">
            <v>220</v>
          </cell>
          <cell r="G31">
            <v>78.825000000000003</v>
          </cell>
          <cell r="H31">
            <v>79.275000000000006</v>
          </cell>
          <cell r="I31">
            <v>78.375</v>
          </cell>
          <cell r="J31">
            <v>26.15</v>
          </cell>
          <cell r="K31">
            <v>28.475000000000001</v>
          </cell>
          <cell r="L31">
            <v>28.465</v>
          </cell>
          <cell r="M31">
            <v>28.44</v>
          </cell>
          <cell r="N31">
            <v>25.7</v>
          </cell>
          <cell r="O31">
            <v>29.42</v>
          </cell>
          <cell r="P31">
            <v>28.425000000000001</v>
          </cell>
          <cell r="Q31">
            <v>25.1</v>
          </cell>
          <cell r="R31">
            <v>78.875</v>
          </cell>
          <cell r="S31">
            <v>26.375</v>
          </cell>
          <cell r="T31">
            <v>20.824999999999999</v>
          </cell>
          <cell r="U31">
            <v>105</v>
          </cell>
          <cell r="V31">
            <v>177</v>
          </cell>
          <cell r="W31">
            <v>32.75</v>
          </cell>
          <cell r="X31">
            <v>93.875</v>
          </cell>
          <cell r="Y31">
            <v>99.424999999999997</v>
          </cell>
        </row>
        <row r="32">
          <cell r="A32">
            <v>37602</v>
          </cell>
          <cell r="B32">
            <v>51.75</v>
          </cell>
          <cell r="C32">
            <v>62.5</v>
          </cell>
          <cell r="D32">
            <v>74.7</v>
          </cell>
          <cell r="E32">
            <v>78.825000000000003</v>
          </cell>
          <cell r="F32">
            <v>220</v>
          </cell>
          <cell r="G32">
            <v>74.7</v>
          </cell>
          <cell r="H32">
            <v>76.400000000000006</v>
          </cell>
          <cell r="I32">
            <v>75.7</v>
          </cell>
          <cell r="J32">
            <v>25.8</v>
          </cell>
          <cell r="K32">
            <v>27.635000000000002</v>
          </cell>
          <cell r="L32">
            <v>28</v>
          </cell>
          <cell r="M32">
            <v>28.01</v>
          </cell>
          <cell r="N32">
            <v>25.11</v>
          </cell>
          <cell r="O32">
            <v>27.885000000000002</v>
          </cell>
          <cell r="P32">
            <v>27.934999999999999</v>
          </cell>
          <cell r="Q32">
            <v>24.51</v>
          </cell>
          <cell r="R32">
            <v>75.775000000000006</v>
          </cell>
          <cell r="S32">
            <v>26</v>
          </cell>
          <cell r="T32">
            <v>19.975000000000001</v>
          </cell>
          <cell r="U32">
            <v>102</v>
          </cell>
          <cell r="V32">
            <v>177</v>
          </cell>
          <cell r="W32">
            <v>32.125</v>
          </cell>
          <cell r="X32">
            <v>97.099999999999895</v>
          </cell>
          <cell r="Y32">
            <v>102.65</v>
          </cell>
        </row>
        <row r="33">
          <cell r="A33">
            <v>37601</v>
          </cell>
          <cell r="B33">
            <v>49.875</v>
          </cell>
          <cell r="C33">
            <v>60.25</v>
          </cell>
          <cell r="D33">
            <v>71.474999999999895</v>
          </cell>
          <cell r="E33">
            <v>75.599999999999895</v>
          </cell>
          <cell r="F33">
            <v>220</v>
          </cell>
          <cell r="G33">
            <v>72.474999999999895</v>
          </cell>
          <cell r="H33">
            <v>74.099999999999895</v>
          </cell>
          <cell r="I33">
            <v>73.474999999999895</v>
          </cell>
          <cell r="J33">
            <v>24.8</v>
          </cell>
          <cell r="K33">
            <v>27.204999999999998</v>
          </cell>
          <cell r="L33">
            <v>27.5</v>
          </cell>
          <cell r="M33">
            <v>27.4</v>
          </cell>
          <cell r="N33">
            <v>24.68</v>
          </cell>
          <cell r="O33">
            <v>27.6</v>
          </cell>
          <cell r="P33">
            <v>27.504999999999999</v>
          </cell>
          <cell r="Q33">
            <v>24.08</v>
          </cell>
          <cell r="R33">
            <v>73.8</v>
          </cell>
          <cell r="S33">
            <v>24.625</v>
          </cell>
          <cell r="T33">
            <v>19.375</v>
          </cell>
          <cell r="U33">
            <v>105</v>
          </cell>
          <cell r="V33">
            <v>177</v>
          </cell>
          <cell r="W33">
            <v>31.375</v>
          </cell>
          <cell r="X33">
            <v>95.7</v>
          </cell>
          <cell r="Y33">
            <v>102.45</v>
          </cell>
        </row>
        <row r="34">
          <cell r="A34">
            <v>37600</v>
          </cell>
          <cell r="B34">
            <v>49.75</v>
          </cell>
          <cell r="C34">
            <v>60.375</v>
          </cell>
          <cell r="D34">
            <v>73.724999999999895</v>
          </cell>
          <cell r="E34">
            <v>78.599999999999895</v>
          </cell>
          <cell r="F34">
            <v>220</v>
          </cell>
          <cell r="G34">
            <v>75.224999999999895</v>
          </cell>
          <cell r="H34">
            <v>73.900000000000006</v>
          </cell>
          <cell r="I34">
            <v>73.45</v>
          </cell>
          <cell r="J34">
            <v>24.625</v>
          </cell>
          <cell r="K34">
            <v>27.305</v>
          </cell>
          <cell r="L34">
            <v>27.64</v>
          </cell>
          <cell r="M34">
            <v>27.74</v>
          </cell>
          <cell r="N34">
            <v>24.805</v>
          </cell>
          <cell r="O34">
            <v>26.98</v>
          </cell>
          <cell r="P34">
            <v>27.63</v>
          </cell>
          <cell r="Q34">
            <v>24.204999999999998</v>
          </cell>
          <cell r="R34">
            <v>73.650000000000006</v>
          </cell>
          <cell r="S34">
            <v>24.375</v>
          </cell>
          <cell r="T34">
            <v>19.625</v>
          </cell>
          <cell r="U34">
            <v>130</v>
          </cell>
          <cell r="V34">
            <v>177</v>
          </cell>
          <cell r="W34">
            <v>31.125</v>
          </cell>
          <cell r="X34">
            <v>96.4</v>
          </cell>
          <cell r="Y34">
            <v>102.65</v>
          </cell>
        </row>
        <row r="35">
          <cell r="A35">
            <v>37599</v>
          </cell>
          <cell r="B35">
            <v>49.375</v>
          </cell>
          <cell r="C35">
            <v>59.125</v>
          </cell>
          <cell r="D35">
            <v>70.900000000000006</v>
          </cell>
          <cell r="E35">
            <v>75.525000000000006</v>
          </cell>
          <cell r="F35">
            <v>220</v>
          </cell>
          <cell r="G35">
            <v>68.900000000000006</v>
          </cell>
          <cell r="H35">
            <v>72.8</v>
          </cell>
          <cell r="I35">
            <v>72.3</v>
          </cell>
          <cell r="J35">
            <v>24.5</v>
          </cell>
          <cell r="K35">
            <v>26.885000000000002</v>
          </cell>
          <cell r="L35">
            <v>27.27</v>
          </cell>
          <cell r="M35">
            <v>27.2</v>
          </cell>
          <cell r="N35">
            <v>24.385000000000002</v>
          </cell>
          <cell r="O35">
            <v>27.015000000000001</v>
          </cell>
          <cell r="P35">
            <v>27.21</v>
          </cell>
          <cell r="Q35">
            <v>23.785</v>
          </cell>
          <cell r="R35">
            <v>72.125</v>
          </cell>
          <cell r="S35">
            <v>24.125</v>
          </cell>
          <cell r="T35">
            <v>19.399999999999999</v>
          </cell>
          <cell r="U35">
            <v>140</v>
          </cell>
          <cell r="V35">
            <v>177.5</v>
          </cell>
          <cell r="W35">
            <v>30.5</v>
          </cell>
          <cell r="X35">
            <v>93.9</v>
          </cell>
          <cell r="Y35">
            <v>99.775000000000006</v>
          </cell>
        </row>
        <row r="36">
          <cell r="A36">
            <v>37596</v>
          </cell>
          <cell r="B36">
            <v>49.1875</v>
          </cell>
          <cell r="C36">
            <v>58.625</v>
          </cell>
          <cell r="D36">
            <v>68.525000000000006</v>
          </cell>
          <cell r="E36">
            <v>73.400000000000006</v>
          </cell>
          <cell r="F36">
            <v>220</v>
          </cell>
          <cell r="G36">
            <v>66.525000000000006</v>
          </cell>
          <cell r="H36">
            <v>72.3</v>
          </cell>
          <cell r="I36">
            <v>71.45</v>
          </cell>
          <cell r="J36">
            <v>24.5</v>
          </cell>
          <cell r="K36">
            <v>26.504999999999999</v>
          </cell>
          <cell r="L36">
            <v>26.96</v>
          </cell>
          <cell r="M36">
            <v>26.93</v>
          </cell>
          <cell r="N36">
            <v>24.004999999999999</v>
          </cell>
          <cell r="O36">
            <v>26.504999999999999</v>
          </cell>
          <cell r="P36">
            <v>26.88</v>
          </cell>
          <cell r="Q36">
            <v>23.405000000000001</v>
          </cell>
          <cell r="R36">
            <v>71.900000000000006</v>
          </cell>
          <cell r="S36">
            <v>23.875</v>
          </cell>
          <cell r="T36">
            <v>19.475000000000001</v>
          </cell>
          <cell r="U36">
            <v>140</v>
          </cell>
          <cell r="V36">
            <v>177.5</v>
          </cell>
          <cell r="W36">
            <v>30.5</v>
          </cell>
          <cell r="X36">
            <v>93.849999999999895</v>
          </cell>
          <cell r="Y36">
            <v>99.349999999999895</v>
          </cell>
        </row>
        <row r="37">
          <cell r="A37">
            <v>37876</v>
          </cell>
          <cell r="B37">
            <v>52.875</v>
          </cell>
          <cell r="C37">
            <v>61.5</v>
          </cell>
          <cell r="D37">
            <v>86.75</v>
          </cell>
          <cell r="E37">
            <v>99.75</v>
          </cell>
          <cell r="F37">
            <v>270</v>
          </cell>
          <cell r="G37">
            <v>79.75</v>
          </cell>
          <cell r="H37">
            <v>74.150000000000006</v>
          </cell>
          <cell r="I37">
            <v>71.8</v>
          </cell>
          <cell r="J37">
            <v>24.875</v>
          </cell>
          <cell r="K37">
            <v>27.63</v>
          </cell>
          <cell r="L37">
            <v>28.13</v>
          </cell>
          <cell r="M37">
            <v>28.27</v>
          </cell>
          <cell r="N37">
            <v>25.83</v>
          </cell>
          <cell r="O37">
            <v>26.7</v>
          </cell>
          <cell r="P37">
            <v>28.254999999999999</v>
          </cell>
          <cell r="Q37">
            <v>25.23</v>
          </cell>
          <cell r="R37">
            <v>74.150000000000006</v>
          </cell>
          <cell r="S37">
            <v>25.5</v>
          </cell>
          <cell r="T37">
            <v>21.65</v>
          </cell>
          <cell r="U37">
            <v>310</v>
          </cell>
          <cell r="V37">
            <v>285</v>
          </cell>
          <cell r="W37">
            <v>28.375</v>
          </cell>
          <cell r="X37">
            <v>87.55</v>
          </cell>
          <cell r="Y37">
            <v>93.05</v>
          </cell>
        </row>
        <row r="41">
          <cell r="B41" t="str">
            <v>Para sacar diferenciales</v>
          </cell>
        </row>
        <row r="42">
          <cell r="B42" t="str">
            <v>Para sacar diferenciales</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
      <sheetName val="WS CLEAN"/>
      <sheetName val="RICS NUEVA HOJA DIARIA"/>
      <sheetName val="HOJA DIARIA NUEVA"/>
      <sheetName val="Informe Semanal 1"/>
      <sheetName val="Informe Semanal"/>
      <sheetName val="BASE"/>
      <sheetName val="PRECIOS"/>
      <sheetName val="MARGEN"/>
      <sheetName val="Tabla"/>
    </sheetNames>
    <sheetDataSet>
      <sheetData sheetId="0"/>
      <sheetData sheetId="1"/>
      <sheetData sheetId="2"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row>
        <row r="2">
          <cell r="U2" t="str">
            <v>REUTERS</v>
          </cell>
          <cell r="V2" t="str">
            <v>REUTERS</v>
          </cell>
        </row>
        <row r="3">
          <cell r="B3" t="str">
            <v>PROPANO</v>
          </cell>
          <cell r="C3" t="str">
            <v>BUTANO</v>
          </cell>
          <cell r="D3" t="str">
            <v>UNL87</v>
          </cell>
          <cell r="E3" t="str">
            <v>UNL93</v>
          </cell>
          <cell r="F3" t="str">
            <v>WS</v>
          </cell>
          <cell r="G3" t="str">
            <v>NAFTA</v>
          </cell>
          <cell r="H3" t="str">
            <v>JET54</v>
          </cell>
          <cell r="I3" t="str">
            <v>DIESEL</v>
          </cell>
          <cell r="J3" t="str">
            <v xml:space="preserve">FUEL OIL </v>
          </cell>
          <cell r="K3" t="str">
            <v>Cusiana</v>
          </cell>
          <cell r="L3" t="str">
            <v>WTI mes1</v>
          </cell>
          <cell r="M3" t="str">
            <v>WTI mes1</v>
          </cell>
          <cell r="N3" t="str">
            <v>CAÑO</v>
          </cell>
          <cell r="O3" t="str">
            <v>Dated</v>
          </cell>
          <cell r="P3" t="str">
            <v>WTI 2nd</v>
          </cell>
          <cell r="Q3" t="str">
            <v>Vasconia</v>
          </cell>
          <cell r="R3" t="str">
            <v>No. 2 USGC</v>
          </cell>
          <cell r="S3" t="str">
            <v>No.6 1% S</v>
          </cell>
          <cell r="T3" t="str">
            <v xml:space="preserve">No.6 3%S </v>
          </cell>
          <cell r="U3" t="str">
            <v>FLETE 70 DWT</v>
          </cell>
          <cell r="V3" t="str">
            <v>FLETE 50 DWT</v>
          </cell>
          <cell r="W3" t="str">
            <v xml:space="preserve">NO.6  0.3% S </v>
          </cell>
          <cell r="X3" t="str">
            <v>UNL87</v>
          </cell>
          <cell r="Y3" t="str">
            <v>UNL93</v>
          </cell>
        </row>
        <row r="4">
          <cell r="B4" t="str">
            <v>Mt.Belvieu</v>
          </cell>
          <cell r="C4" t="str">
            <v>Mt.Belvieu</v>
          </cell>
          <cell r="D4" t="str">
            <v>USGC</v>
          </cell>
          <cell r="E4" t="str">
            <v>USGC</v>
          </cell>
          <cell r="F4" t="str">
            <v>CLEAN</v>
          </cell>
          <cell r="G4" t="str">
            <v>USGC</v>
          </cell>
          <cell r="H4" t="str">
            <v>USGC</v>
          </cell>
          <cell r="I4" t="str">
            <v>USGC</v>
          </cell>
          <cell r="J4" t="str">
            <v xml:space="preserve"> NY 1%S</v>
          </cell>
          <cell r="L4" t="str">
            <v>Cushing</v>
          </cell>
          <cell r="M4" t="str">
            <v xml:space="preserve"> NYMEX</v>
          </cell>
          <cell r="N4" t="str">
            <v>LIMON</v>
          </cell>
          <cell r="O4" t="str">
            <v>Brent</v>
          </cell>
          <cell r="P4" t="str">
            <v>Month</v>
          </cell>
          <cell r="R4" t="str">
            <v>LS</v>
          </cell>
          <cell r="S4" t="str">
            <v>USGC</v>
          </cell>
          <cell r="T4" t="str">
            <v>USGC</v>
          </cell>
          <cell r="U4" t="str">
            <v>USGC</v>
          </cell>
          <cell r="V4" t="str">
            <v>USAC</v>
          </cell>
          <cell r="W4" t="str">
            <v>NY</v>
          </cell>
          <cell r="X4" t="str">
            <v>9 RVP USGC</v>
          </cell>
          <cell r="Y4" t="str">
            <v>9 RVP USGC</v>
          </cell>
        </row>
        <row r="5">
          <cell r="B5" t="str">
            <v>PMAAY00</v>
          </cell>
          <cell r="C5" t="str">
            <v>PMAAI00</v>
          </cell>
          <cell r="D5" t="str">
            <v>PGACU00</v>
          </cell>
          <cell r="E5" t="str">
            <v>PGAIX00</v>
          </cell>
          <cell r="F5" t="str">
            <v>PFACC10</v>
          </cell>
          <cell r="G5" t="str">
            <v>PAAAC00</v>
          </cell>
          <cell r="H5" t="str">
            <v>PJABM00</v>
          </cell>
          <cell r="I5" t="str">
            <v>POAEE00</v>
          </cell>
          <cell r="J5" t="str">
            <v>PUAAO00</v>
          </cell>
          <cell r="K5" t="str">
            <v>PCAGL00</v>
          </cell>
          <cell r="L5" t="str">
            <v>PCACG00</v>
          </cell>
          <cell r="M5" t="str">
            <v>CLc1</v>
          </cell>
          <cell r="N5" t="str">
            <v>PCADM00</v>
          </cell>
          <cell r="O5" t="str">
            <v>PCAAS00</v>
          </cell>
          <cell r="P5" t="str">
            <v>PCACH00</v>
          </cell>
          <cell r="Q5" t="str">
            <v>PCAGI00</v>
          </cell>
          <cell r="R5" t="str">
            <v>POAES00</v>
          </cell>
          <cell r="S5" t="str">
            <v>PUAAI00</v>
          </cell>
          <cell r="T5" t="str">
            <v>PUAFZ00</v>
          </cell>
          <cell r="U5" t="str">
            <v>DFRT-CAR-US-FO</v>
          </cell>
          <cell r="V5" t="str">
            <v>DFRT-CAR-US</v>
          </cell>
          <cell r="W5" t="str">
            <v>PUAAE00</v>
          </cell>
          <cell r="X5" t="str">
            <v>PGAAC00</v>
          </cell>
          <cell r="Y5" t="str">
            <v>PGAJF00</v>
          </cell>
        </row>
        <row r="6">
          <cell r="A6" t="str">
            <v>Time stamp</v>
          </cell>
          <cell r="B6" t="str">
            <v>CLOSE</v>
          </cell>
          <cell r="C6" t="str">
            <v>CLOSE</v>
          </cell>
          <cell r="D6" t="str">
            <v>CLOSE</v>
          </cell>
          <cell r="E6" t="str">
            <v>CLOSE</v>
          </cell>
          <cell r="F6" t="str">
            <v>CLOSE</v>
          </cell>
          <cell r="G6" t="str">
            <v>CLOSE</v>
          </cell>
          <cell r="H6" t="str">
            <v>CLOSE</v>
          </cell>
          <cell r="I6" t="str">
            <v>CLOSE</v>
          </cell>
          <cell r="J6" t="str">
            <v>CLOSE</v>
          </cell>
          <cell r="K6" t="str">
            <v>CLOSE</v>
          </cell>
          <cell r="L6" t="str">
            <v>CLOSE</v>
          </cell>
          <cell r="M6" t="str">
            <v>CLOSE</v>
          </cell>
          <cell r="N6" t="str">
            <v>CLOSE</v>
          </cell>
          <cell r="O6" t="str">
            <v>CLOSE</v>
          </cell>
          <cell r="P6" t="str">
            <v>CLOSE</v>
          </cell>
          <cell r="Q6" t="str">
            <v>CLOSE</v>
          </cell>
          <cell r="R6" t="str">
            <v>CLOSE</v>
          </cell>
          <cell r="S6" t="str">
            <v>CLOSE</v>
          </cell>
          <cell r="T6" t="str">
            <v>CLOSE</v>
          </cell>
          <cell r="U6" t="str">
            <v>CLOSE</v>
          </cell>
          <cell r="V6" t="str">
            <v>CLOSE</v>
          </cell>
          <cell r="W6" t="str">
            <v>CLOSE</v>
          </cell>
          <cell r="X6" t="str">
            <v>CLOSE</v>
          </cell>
          <cell r="Y6" t="str">
            <v>CLOSE</v>
          </cell>
        </row>
        <row r="7">
          <cell r="A7">
            <v>37642</v>
          </cell>
          <cell r="B7">
            <v>59.625</v>
          </cell>
          <cell r="C7">
            <v>76.75</v>
          </cell>
          <cell r="D7">
            <v>87.625</v>
          </cell>
          <cell r="E7">
            <v>92</v>
          </cell>
          <cell r="F7">
            <v>245</v>
          </cell>
          <cell r="G7">
            <v>88.125</v>
          </cell>
          <cell r="H7">
            <v>87.724999999999895</v>
          </cell>
          <cell r="I7">
            <v>87.4</v>
          </cell>
          <cell r="J7">
            <v>32.274999999999999</v>
          </cell>
          <cell r="K7">
            <v>34.185000000000002</v>
          </cell>
          <cell r="L7">
            <v>34.31</v>
          </cell>
          <cell r="M7">
            <v>34.61</v>
          </cell>
          <cell r="N7">
            <v>31.635000000000002</v>
          </cell>
          <cell r="O7">
            <v>31.54</v>
          </cell>
          <cell r="P7">
            <v>32.96</v>
          </cell>
          <cell r="Q7">
            <v>31.234999999999999</v>
          </cell>
          <cell r="R7">
            <v>87.5</v>
          </cell>
          <cell r="S7">
            <v>31.75</v>
          </cell>
          <cell r="T7">
            <v>31.25</v>
          </cell>
          <cell r="U7">
            <v>105</v>
          </cell>
          <cell r="V7">
            <v>181.5</v>
          </cell>
          <cell r="W7">
            <v>38.375</v>
          </cell>
        </row>
        <row r="8">
          <cell r="A8">
            <v>37917</v>
          </cell>
          <cell r="B8">
            <v>55.25</v>
          </cell>
          <cell r="C8">
            <v>71.5</v>
          </cell>
          <cell r="D8">
            <v>82.2</v>
          </cell>
          <cell r="E8">
            <v>88.2</v>
          </cell>
          <cell r="F8">
            <v>240</v>
          </cell>
          <cell r="G8">
            <v>80.2</v>
          </cell>
          <cell r="H8">
            <v>82.849999999999895</v>
          </cell>
          <cell r="I8">
            <v>80.349999999999895</v>
          </cell>
          <cell r="J8">
            <v>25.824999999999999</v>
          </cell>
          <cell r="K8">
            <v>30.385000000000002</v>
          </cell>
          <cell r="L8">
            <v>30.13</v>
          </cell>
          <cell r="M8">
            <v>30.3</v>
          </cell>
          <cell r="N8">
            <v>28.085000000000001</v>
          </cell>
          <cell r="O8">
            <v>29.45</v>
          </cell>
          <cell r="P8">
            <v>30.31</v>
          </cell>
          <cell r="Q8">
            <v>27.385000000000002</v>
          </cell>
          <cell r="R8">
            <v>81.75</v>
          </cell>
          <cell r="S8">
            <v>28.625</v>
          </cell>
          <cell r="T8">
            <v>23.9</v>
          </cell>
          <cell r="U8">
            <v>155</v>
          </cell>
          <cell r="V8">
            <v>350</v>
          </cell>
          <cell r="W8">
            <v>30.375</v>
          </cell>
          <cell r="X8">
            <v>90.15</v>
          </cell>
          <cell r="Y8">
            <v>102.9</v>
          </cell>
        </row>
        <row r="9">
          <cell r="A9">
            <v>37916</v>
          </cell>
          <cell r="B9">
            <v>55</v>
          </cell>
          <cell r="C9">
            <v>71.125</v>
          </cell>
          <cell r="D9">
            <v>79.400000000000006</v>
          </cell>
          <cell r="E9">
            <v>85.4</v>
          </cell>
          <cell r="F9">
            <v>240</v>
          </cell>
          <cell r="G9">
            <v>79.400000000000006</v>
          </cell>
          <cell r="H9">
            <v>81.599999999999895</v>
          </cell>
          <cell r="I9">
            <v>79.099999999999895</v>
          </cell>
          <cell r="J9">
            <v>25.625</v>
          </cell>
          <cell r="K9">
            <v>29.965</v>
          </cell>
          <cell r="L9">
            <v>29.704999999999998</v>
          </cell>
          <cell r="M9">
            <v>29.92</v>
          </cell>
          <cell r="N9">
            <v>27.69</v>
          </cell>
          <cell r="O9">
            <v>29.395</v>
          </cell>
          <cell r="P9">
            <v>29.89</v>
          </cell>
          <cell r="Q9">
            <v>26.965</v>
          </cell>
          <cell r="R9">
            <v>80.5</v>
          </cell>
          <cell r="S9">
            <v>28.5</v>
          </cell>
          <cell r="T9">
            <v>23.875</v>
          </cell>
          <cell r="U9">
            <v>155</v>
          </cell>
          <cell r="V9">
            <v>375</v>
          </cell>
          <cell r="W9">
            <v>30.375</v>
          </cell>
          <cell r="X9">
            <v>91.15</v>
          </cell>
          <cell r="Y9">
            <v>102.15</v>
          </cell>
        </row>
        <row r="10">
          <cell r="A10">
            <v>37915</v>
          </cell>
          <cell r="B10">
            <v>55.125</v>
          </cell>
          <cell r="C10">
            <v>71</v>
          </cell>
          <cell r="D10">
            <v>82.775000000000006</v>
          </cell>
          <cell r="E10">
            <v>89.525000000000006</v>
          </cell>
          <cell r="F10">
            <v>240</v>
          </cell>
          <cell r="G10">
            <v>82.775000000000006</v>
          </cell>
          <cell r="H10">
            <v>82.674999999999997</v>
          </cell>
          <cell r="I10">
            <v>79.875</v>
          </cell>
          <cell r="J10">
            <v>25.625</v>
          </cell>
          <cell r="K10">
            <v>30.454999999999998</v>
          </cell>
          <cell r="L10">
            <v>30.08</v>
          </cell>
          <cell r="M10">
            <v>30.18</v>
          </cell>
          <cell r="N10">
            <v>28.105</v>
          </cell>
          <cell r="O10">
            <v>29.684999999999999</v>
          </cell>
          <cell r="P10">
            <v>30.28</v>
          </cell>
          <cell r="Q10">
            <v>27.655000000000001</v>
          </cell>
          <cell r="R10">
            <v>81.424999999999997</v>
          </cell>
          <cell r="S10">
            <v>28.5</v>
          </cell>
          <cell r="T10">
            <v>24.625</v>
          </cell>
          <cell r="U10">
            <v>170</v>
          </cell>
          <cell r="V10">
            <v>360</v>
          </cell>
          <cell r="W10">
            <v>30.5</v>
          </cell>
          <cell r="X10">
            <v>90.724999999999895</v>
          </cell>
          <cell r="Y10">
            <v>100.72499999999999</v>
          </cell>
        </row>
        <row r="11">
          <cell r="A11">
            <v>37914</v>
          </cell>
          <cell r="B11">
            <v>54.875</v>
          </cell>
          <cell r="C11">
            <v>70.25</v>
          </cell>
          <cell r="D11">
            <v>83.5</v>
          </cell>
          <cell r="E11">
            <v>91</v>
          </cell>
          <cell r="F11">
            <v>240</v>
          </cell>
          <cell r="G11">
            <v>83.5</v>
          </cell>
          <cell r="H11">
            <v>82.3</v>
          </cell>
          <cell r="I11">
            <v>79.5</v>
          </cell>
          <cell r="J11">
            <v>25.625</v>
          </cell>
          <cell r="K11">
            <v>30.55</v>
          </cell>
          <cell r="L11">
            <v>30.324999999999999</v>
          </cell>
          <cell r="M11">
            <v>30.35</v>
          </cell>
          <cell r="N11">
            <v>28.3</v>
          </cell>
          <cell r="O11">
            <v>29.785</v>
          </cell>
          <cell r="P11">
            <v>30.375</v>
          </cell>
          <cell r="Q11">
            <v>27.85</v>
          </cell>
          <cell r="R11">
            <v>81.075000000000003</v>
          </cell>
          <cell r="S11">
            <v>28.5</v>
          </cell>
          <cell r="T11">
            <v>24.75</v>
          </cell>
          <cell r="U11">
            <v>215</v>
          </cell>
          <cell r="V11">
            <v>365</v>
          </cell>
          <cell r="W11">
            <v>30.5</v>
          </cell>
          <cell r="X11">
            <v>87.349999999999895</v>
          </cell>
          <cell r="Y11">
            <v>99.349999999999895</v>
          </cell>
        </row>
        <row r="12">
          <cell r="A12">
            <v>37911</v>
          </cell>
          <cell r="B12">
            <v>55.875</v>
          </cell>
          <cell r="C12">
            <v>71.125</v>
          </cell>
          <cell r="D12">
            <v>82.95</v>
          </cell>
          <cell r="E12">
            <v>90.2</v>
          </cell>
          <cell r="F12">
            <v>240</v>
          </cell>
          <cell r="G12">
            <v>82.95</v>
          </cell>
          <cell r="H12">
            <v>83.075000000000003</v>
          </cell>
          <cell r="I12">
            <v>80.349999999999895</v>
          </cell>
          <cell r="J12">
            <v>25.95</v>
          </cell>
          <cell r="K12">
            <v>30.835000000000001</v>
          </cell>
          <cell r="L12">
            <v>30.63</v>
          </cell>
          <cell r="M12">
            <v>30.68</v>
          </cell>
          <cell r="N12">
            <v>28.585000000000001</v>
          </cell>
          <cell r="O12">
            <v>29.704999999999998</v>
          </cell>
          <cell r="P12">
            <v>30.66</v>
          </cell>
          <cell r="Q12">
            <v>28.135000000000002</v>
          </cell>
          <cell r="R12">
            <v>82.075000000000003</v>
          </cell>
          <cell r="S12">
            <v>28.5</v>
          </cell>
          <cell r="T12">
            <v>24.75</v>
          </cell>
          <cell r="U12">
            <v>245</v>
          </cell>
          <cell r="V12">
            <v>365</v>
          </cell>
          <cell r="W12">
            <v>30.625</v>
          </cell>
          <cell r="X12">
            <v>84.45</v>
          </cell>
          <cell r="Y12">
            <v>93.45</v>
          </cell>
        </row>
        <row r="13">
          <cell r="A13">
            <v>37910</v>
          </cell>
          <cell r="B13">
            <v>57.625</v>
          </cell>
          <cell r="C13">
            <v>72.625</v>
          </cell>
          <cell r="D13">
            <v>85.474999999999895</v>
          </cell>
          <cell r="E13">
            <v>92.974999999999895</v>
          </cell>
          <cell r="F13">
            <v>240</v>
          </cell>
          <cell r="G13">
            <v>83.474999999999895</v>
          </cell>
          <cell r="H13">
            <v>86.125</v>
          </cell>
          <cell r="I13">
            <v>83.5</v>
          </cell>
          <cell r="J13">
            <v>26.975000000000001</v>
          </cell>
          <cell r="K13">
            <v>31.695</v>
          </cell>
          <cell r="L13">
            <v>31.45</v>
          </cell>
          <cell r="M13">
            <v>31.54</v>
          </cell>
          <cell r="N13">
            <v>29.445</v>
          </cell>
          <cell r="O13">
            <v>31.094999999999999</v>
          </cell>
          <cell r="P13">
            <v>31.52</v>
          </cell>
          <cell r="Q13">
            <v>29.045000000000002</v>
          </cell>
          <cell r="R13">
            <v>85.125</v>
          </cell>
          <cell r="S13">
            <v>28.5</v>
          </cell>
          <cell r="T13">
            <v>25.5</v>
          </cell>
          <cell r="U13">
            <v>280</v>
          </cell>
          <cell r="V13">
            <v>365</v>
          </cell>
          <cell r="W13">
            <v>30.975000000000001</v>
          </cell>
          <cell r="X13">
            <v>83.599999999999895</v>
          </cell>
          <cell r="Y13">
            <v>92.599999999999895</v>
          </cell>
        </row>
        <row r="14">
          <cell r="A14">
            <v>37909</v>
          </cell>
          <cell r="B14">
            <v>57.75</v>
          </cell>
          <cell r="C14">
            <v>72</v>
          </cell>
          <cell r="D14">
            <v>86.775000000000006</v>
          </cell>
          <cell r="E14">
            <v>95.025000000000006</v>
          </cell>
          <cell r="F14">
            <v>240</v>
          </cell>
          <cell r="G14">
            <v>84.775000000000006</v>
          </cell>
          <cell r="H14">
            <v>86.775000000000006</v>
          </cell>
          <cell r="I14">
            <v>84.25</v>
          </cell>
          <cell r="J14">
            <v>27.324999999999999</v>
          </cell>
          <cell r="K14">
            <v>31.914999999999999</v>
          </cell>
          <cell r="L14">
            <v>31.73</v>
          </cell>
          <cell r="M14">
            <v>31.77</v>
          </cell>
          <cell r="N14">
            <v>29.715</v>
          </cell>
          <cell r="O14">
            <v>31.225000000000001</v>
          </cell>
          <cell r="P14">
            <v>31.79</v>
          </cell>
          <cell r="Q14">
            <v>29.265000000000001</v>
          </cell>
          <cell r="R14">
            <v>85.825000000000003</v>
          </cell>
          <cell r="S14">
            <v>28.125</v>
          </cell>
          <cell r="T14">
            <v>25.75</v>
          </cell>
          <cell r="U14">
            <v>302</v>
          </cell>
          <cell r="V14">
            <v>390</v>
          </cell>
          <cell r="W14">
            <v>31.125</v>
          </cell>
          <cell r="X14">
            <v>82.224999999999895</v>
          </cell>
          <cell r="Y14">
            <v>91.224999999999895</v>
          </cell>
        </row>
        <row r="15">
          <cell r="A15">
            <v>37908</v>
          </cell>
          <cell r="B15">
            <v>57.75</v>
          </cell>
          <cell r="C15">
            <v>72.125</v>
          </cell>
          <cell r="D15">
            <v>88.325000000000003</v>
          </cell>
          <cell r="E15">
            <v>96.575000000000003</v>
          </cell>
          <cell r="F15">
            <v>240</v>
          </cell>
          <cell r="G15">
            <v>86.325000000000003</v>
          </cell>
          <cell r="H15">
            <v>87.099999999999895</v>
          </cell>
          <cell r="I15">
            <v>84.575000000000003</v>
          </cell>
          <cell r="J15">
            <v>27.475000000000001</v>
          </cell>
          <cell r="K15">
            <v>31.925000000000001</v>
          </cell>
          <cell r="L15">
            <v>31.75</v>
          </cell>
          <cell r="M15">
            <v>31.82</v>
          </cell>
          <cell r="N15">
            <v>29.725000000000001</v>
          </cell>
          <cell r="O15">
            <v>31.53</v>
          </cell>
          <cell r="P15">
            <v>31.8</v>
          </cell>
          <cell r="Q15">
            <v>29.274999999999999</v>
          </cell>
          <cell r="R15">
            <v>86.375</v>
          </cell>
          <cell r="S15">
            <v>28.125</v>
          </cell>
          <cell r="T15">
            <v>25.75</v>
          </cell>
          <cell r="U15">
            <v>325</v>
          </cell>
          <cell r="V15">
            <v>390</v>
          </cell>
          <cell r="W15">
            <v>31.125</v>
          </cell>
          <cell r="X15">
            <v>84</v>
          </cell>
          <cell r="Y15">
            <v>93</v>
          </cell>
        </row>
        <row r="16">
          <cell r="A16">
            <v>37907</v>
          </cell>
          <cell r="B16">
            <v>57.875</v>
          </cell>
          <cell r="C16">
            <v>72.25</v>
          </cell>
          <cell r="D16">
            <v>87.7</v>
          </cell>
          <cell r="E16">
            <v>95.95</v>
          </cell>
          <cell r="F16">
            <v>240</v>
          </cell>
          <cell r="G16">
            <v>83.7</v>
          </cell>
          <cell r="H16">
            <v>87.099999999999895</v>
          </cell>
          <cell r="I16">
            <v>84.45</v>
          </cell>
          <cell r="J16">
            <v>27.475000000000001</v>
          </cell>
          <cell r="K16">
            <v>32.145000000000003</v>
          </cell>
          <cell r="L16">
            <v>31.91</v>
          </cell>
          <cell r="M16">
            <v>31.95</v>
          </cell>
          <cell r="N16">
            <v>29.795000000000002</v>
          </cell>
          <cell r="O16">
            <v>31.234999999999999</v>
          </cell>
          <cell r="P16">
            <v>32.020000000000003</v>
          </cell>
          <cell r="Q16">
            <v>29.495000000000001</v>
          </cell>
          <cell r="R16">
            <v>86.424999999999997</v>
          </cell>
          <cell r="S16">
            <v>28.125</v>
          </cell>
          <cell r="T16">
            <v>25.625</v>
          </cell>
          <cell r="U16">
            <v>340</v>
          </cell>
          <cell r="V16">
            <v>390</v>
          </cell>
          <cell r="W16">
            <v>30.875</v>
          </cell>
          <cell r="X16">
            <v>93.174999999999997</v>
          </cell>
          <cell r="Y16">
            <v>102.175</v>
          </cell>
        </row>
        <row r="17">
          <cell r="A17">
            <v>37904</v>
          </cell>
          <cell r="B17">
            <v>58.625</v>
          </cell>
          <cell r="C17">
            <v>73.75</v>
          </cell>
          <cell r="D17">
            <v>89.55</v>
          </cell>
          <cell r="E17">
            <v>97.8</v>
          </cell>
          <cell r="F17">
            <v>235</v>
          </cell>
          <cell r="G17">
            <v>87.55</v>
          </cell>
          <cell r="H17">
            <v>88.025000000000006</v>
          </cell>
          <cell r="I17">
            <v>85.4</v>
          </cell>
          <cell r="J17">
            <v>27.375</v>
          </cell>
          <cell r="K17">
            <v>31.95</v>
          </cell>
          <cell r="L17">
            <v>32.045000000000002</v>
          </cell>
          <cell r="M17">
            <v>31.97</v>
          </cell>
          <cell r="N17">
            <v>29.8</v>
          </cell>
          <cell r="O17">
            <v>32.090000000000003</v>
          </cell>
          <cell r="P17">
            <v>32.024999999999999</v>
          </cell>
          <cell r="Q17">
            <v>29.45</v>
          </cell>
          <cell r="R17">
            <v>87.45</v>
          </cell>
          <cell r="S17">
            <v>28.125</v>
          </cell>
          <cell r="T17">
            <v>26</v>
          </cell>
          <cell r="U17">
            <v>340</v>
          </cell>
          <cell r="V17">
            <v>400</v>
          </cell>
          <cell r="W17">
            <v>30.375</v>
          </cell>
          <cell r="X17">
            <v>91.424999999999997</v>
          </cell>
          <cell r="Y17">
            <v>99.424999999999997</v>
          </cell>
        </row>
        <row r="18">
          <cell r="A18">
            <v>37903</v>
          </cell>
          <cell r="B18">
            <v>58</v>
          </cell>
          <cell r="C18">
            <v>72.125</v>
          </cell>
          <cell r="D18">
            <v>89.65</v>
          </cell>
          <cell r="E18">
            <v>98.275000000000006</v>
          </cell>
          <cell r="F18">
            <v>235</v>
          </cell>
          <cell r="G18">
            <v>86.65</v>
          </cell>
          <cell r="H18">
            <v>85.525000000000006</v>
          </cell>
          <cell r="I18">
            <v>82.525000000000006</v>
          </cell>
          <cell r="J18">
            <v>26.25</v>
          </cell>
          <cell r="K18">
            <v>30.934999999999999</v>
          </cell>
          <cell r="L18">
            <v>31.01</v>
          </cell>
          <cell r="M18">
            <v>31.01</v>
          </cell>
          <cell r="N18">
            <v>28.835000000000001</v>
          </cell>
          <cell r="O18">
            <v>30.36</v>
          </cell>
          <cell r="P18">
            <v>31.06</v>
          </cell>
          <cell r="Q18">
            <v>28.434999999999999</v>
          </cell>
          <cell r="R18">
            <v>84.599999999999895</v>
          </cell>
          <cell r="S18">
            <v>26.875</v>
          </cell>
          <cell r="T18">
            <v>24.75</v>
          </cell>
          <cell r="U18">
            <v>365</v>
          </cell>
          <cell r="V18">
            <v>400</v>
          </cell>
          <cell r="W18">
            <v>30.125</v>
          </cell>
          <cell r="X18">
            <v>89.825000000000003</v>
          </cell>
          <cell r="Y18">
            <v>97.825000000000003</v>
          </cell>
        </row>
        <row r="19">
          <cell r="A19">
            <v>37902</v>
          </cell>
          <cell r="B19">
            <v>56.75</v>
          </cell>
          <cell r="C19">
            <v>68.625</v>
          </cell>
          <cell r="D19">
            <v>83.849999999999895</v>
          </cell>
          <cell r="E19">
            <v>91.724999999999895</v>
          </cell>
          <cell r="F19">
            <v>235</v>
          </cell>
          <cell r="G19">
            <v>81.849999999999895</v>
          </cell>
          <cell r="H19">
            <v>81.325000000000003</v>
          </cell>
          <cell r="I19">
            <v>78.5</v>
          </cell>
          <cell r="J19">
            <v>25.75</v>
          </cell>
          <cell r="K19">
            <v>29.68</v>
          </cell>
          <cell r="L19">
            <v>29.77</v>
          </cell>
          <cell r="M19">
            <v>29.81</v>
          </cell>
          <cell r="N19">
            <v>27.63</v>
          </cell>
          <cell r="O19">
            <v>29.18</v>
          </cell>
          <cell r="P19">
            <v>29.855</v>
          </cell>
          <cell r="Q19">
            <v>27.13</v>
          </cell>
          <cell r="R19">
            <v>80.7</v>
          </cell>
          <cell r="S19">
            <v>26.375</v>
          </cell>
          <cell r="T19">
            <v>23.875</v>
          </cell>
          <cell r="U19">
            <v>380</v>
          </cell>
          <cell r="V19">
            <v>400</v>
          </cell>
          <cell r="W19">
            <v>29.375</v>
          </cell>
          <cell r="X19">
            <v>94.375</v>
          </cell>
          <cell r="Y19">
            <v>102.875</v>
          </cell>
        </row>
        <row r="20">
          <cell r="A20">
            <v>37901</v>
          </cell>
          <cell r="B20">
            <v>54.75</v>
          </cell>
          <cell r="C20">
            <v>67.25</v>
          </cell>
          <cell r="D20">
            <v>84.724999999999895</v>
          </cell>
          <cell r="E20">
            <v>91.474999999999895</v>
          </cell>
          <cell r="F20">
            <v>235</v>
          </cell>
          <cell r="G20">
            <v>79.724999999999895</v>
          </cell>
          <cell r="H20">
            <v>82.025000000000006</v>
          </cell>
          <cell r="I20">
            <v>79.3</v>
          </cell>
          <cell r="J20">
            <v>25.75</v>
          </cell>
          <cell r="K20">
            <v>30.15</v>
          </cell>
          <cell r="L20">
            <v>30.37</v>
          </cell>
          <cell r="M20">
            <v>30.41</v>
          </cell>
          <cell r="N20">
            <v>28.1</v>
          </cell>
          <cell r="O20">
            <v>29.545000000000002</v>
          </cell>
          <cell r="P20">
            <v>30.324999999999999</v>
          </cell>
          <cell r="Q20">
            <v>27.6</v>
          </cell>
          <cell r="R20">
            <v>81</v>
          </cell>
          <cell r="S20">
            <v>26.375</v>
          </cell>
          <cell r="T20">
            <v>24.15</v>
          </cell>
          <cell r="U20">
            <v>385</v>
          </cell>
          <cell r="V20">
            <v>400</v>
          </cell>
          <cell r="W20">
            <v>29.375</v>
          </cell>
          <cell r="X20">
            <v>100.22499999999999</v>
          </cell>
          <cell r="Y20">
            <v>108.22499999999999</v>
          </cell>
        </row>
        <row r="21">
          <cell r="A21">
            <v>37900</v>
          </cell>
          <cell r="B21">
            <v>54.375</v>
          </cell>
          <cell r="C21">
            <v>66.125</v>
          </cell>
          <cell r="D21">
            <v>87.625</v>
          </cell>
          <cell r="E21">
            <v>95.625</v>
          </cell>
          <cell r="F21">
            <v>235</v>
          </cell>
          <cell r="G21">
            <v>82.625</v>
          </cell>
          <cell r="H21">
            <v>81.75</v>
          </cell>
          <cell r="I21">
            <v>78.75</v>
          </cell>
          <cell r="J21">
            <v>25.75</v>
          </cell>
          <cell r="K21">
            <v>30.094999999999999</v>
          </cell>
          <cell r="L21">
            <v>30.405000000000001</v>
          </cell>
          <cell r="M21">
            <v>30.47</v>
          </cell>
          <cell r="N21">
            <v>28.03</v>
          </cell>
          <cell r="O21">
            <v>29.4</v>
          </cell>
          <cell r="P21">
            <v>30.204999999999998</v>
          </cell>
          <cell r="Q21">
            <v>27.43</v>
          </cell>
          <cell r="R21">
            <v>81.075000000000003</v>
          </cell>
          <cell r="S21">
            <v>26.375</v>
          </cell>
          <cell r="T21">
            <v>24.55</v>
          </cell>
          <cell r="U21">
            <v>385</v>
          </cell>
          <cell r="V21">
            <v>380</v>
          </cell>
          <cell r="W21">
            <v>29.375</v>
          </cell>
          <cell r="X21">
            <v>106.625</v>
          </cell>
          <cell r="Y21">
            <v>116.125</v>
          </cell>
        </row>
        <row r="22">
          <cell r="A22">
            <v>37897</v>
          </cell>
          <cell r="B22">
            <v>53.25</v>
          </cell>
          <cell r="C22">
            <v>65.125</v>
          </cell>
          <cell r="D22">
            <v>88.349999999999895</v>
          </cell>
          <cell r="E22">
            <v>96.599999999999895</v>
          </cell>
          <cell r="F22">
            <v>240</v>
          </cell>
          <cell r="G22">
            <v>84.349999999999895</v>
          </cell>
          <cell r="H22">
            <v>81.924999999999997</v>
          </cell>
          <cell r="I22">
            <v>79.400000000000006</v>
          </cell>
          <cell r="J22">
            <v>25.7</v>
          </cell>
          <cell r="K22">
            <v>29.664999999999999</v>
          </cell>
          <cell r="L22">
            <v>30.34</v>
          </cell>
          <cell r="M22">
            <v>30.4</v>
          </cell>
          <cell r="N22">
            <v>27.815000000000001</v>
          </cell>
          <cell r="O22">
            <v>29.26</v>
          </cell>
          <cell r="P22">
            <v>30.04</v>
          </cell>
          <cell r="Q22">
            <v>27.215</v>
          </cell>
          <cell r="R22">
            <v>81.349999999999895</v>
          </cell>
          <cell r="S22">
            <v>26.375</v>
          </cell>
          <cell r="T22">
            <v>24.55</v>
          </cell>
          <cell r="U22">
            <v>390</v>
          </cell>
          <cell r="V22">
            <v>355</v>
          </cell>
          <cell r="W22">
            <v>28.875</v>
          </cell>
          <cell r="X22">
            <v>109.825</v>
          </cell>
          <cell r="Y22">
            <v>118.325</v>
          </cell>
        </row>
        <row r="23">
          <cell r="A23">
            <v>37896</v>
          </cell>
          <cell r="B23">
            <v>53.125</v>
          </cell>
          <cell r="C23">
            <v>64.25</v>
          </cell>
          <cell r="D23">
            <v>81.8</v>
          </cell>
          <cell r="E23">
            <v>90.55</v>
          </cell>
          <cell r="F23">
            <v>247</v>
          </cell>
          <cell r="G23">
            <v>77.825000000000003</v>
          </cell>
          <cell r="H23">
            <v>80.7</v>
          </cell>
          <cell r="I23">
            <v>78.349999999999895</v>
          </cell>
          <cell r="J23">
            <v>24.75</v>
          </cell>
          <cell r="K23">
            <v>29.114999999999998</v>
          </cell>
          <cell r="L23">
            <v>29.78</v>
          </cell>
          <cell r="M23">
            <v>29.84</v>
          </cell>
          <cell r="N23">
            <v>27.065000000000001</v>
          </cell>
          <cell r="O23">
            <v>28.925000000000001</v>
          </cell>
          <cell r="P23">
            <v>29.49</v>
          </cell>
          <cell r="Q23">
            <v>26.465</v>
          </cell>
          <cell r="R23">
            <v>80.224999999999895</v>
          </cell>
          <cell r="S23">
            <v>25.875</v>
          </cell>
          <cell r="T23">
            <v>24.125</v>
          </cell>
          <cell r="U23">
            <v>390</v>
          </cell>
          <cell r="V23">
            <v>355</v>
          </cell>
          <cell r="W23">
            <v>28.375</v>
          </cell>
          <cell r="X23">
            <v>102.35</v>
          </cell>
          <cell r="Y23">
            <v>110.35</v>
          </cell>
        </row>
        <row r="24">
          <cell r="A24">
            <v>37895</v>
          </cell>
          <cell r="B24">
            <v>52.25</v>
          </cell>
          <cell r="C24">
            <v>63</v>
          </cell>
          <cell r="D24">
            <v>79</v>
          </cell>
          <cell r="E24">
            <v>88</v>
          </cell>
          <cell r="F24">
            <v>247</v>
          </cell>
          <cell r="G24">
            <v>73.75</v>
          </cell>
          <cell r="H24">
            <v>79.7</v>
          </cell>
          <cell r="I24">
            <v>77.275000000000006</v>
          </cell>
          <cell r="J24">
            <v>24.35</v>
          </cell>
          <cell r="K24">
            <v>28.785</v>
          </cell>
          <cell r="L24">
            <v>29.41</v>
          </cell>
          <cell r="M24">
            <v>29.39</v>
          </cell>
          <cell r="N24">
            <v>26.734999999999999</v>
          </cell>
          <cell r="O24">
            <v>28.24</v>
          </cell>
          <cell r="P24">
            <v>29.16</v>
          </cell>
          <cell r="Q24">
            <v>26.135000000000002</v>
          </cell>
          <cell r="R24">
            <v>79.05</v>
          </cell>
          <cell r="S24">
            <v>25.625</v>
          </cell>
          <cell r="T24">
            <v>23.6</v>
          </cell>
          <cell r="U24">
            <v>395</v>
          </cell>
          <cell r="V24">
            <v>365</v>
          </cell>
          <cell r="W24">
            <v>27.75</v>
          </cell>
          <cell r="X24">
            <v>105.25</v>
          </cell>
          <cell r="Y24">
            <v>112.25</v>
          </cell>
        </row>
        <row r="25">
          <cell r="A25">
            <v>37894</v>
          </cell>
          <cell r="B25">
            <v>52</v>
          </cell>
          <cell r="C25">
            <v>63</v>
          </cell>
          <cell r="D25">
            <v>78.349999999999895</v>
          </cell>
          <cell r="E25">
            <v>86.775000000000006</v>
          </cell>
          <cell r="F25">
            <v>247</v>
          </cell>
          <cell r="G25">
            <v>74.349999999999895</v>
          </cell>
          <cell r="H25">
            <v>78.3</v>
          </cell>
          <cell r="I25">
            <v>75.875</v>
          </cell>
          <cell r="J25">
            <v>24.35</v>
          </cell>
          <cell r="K25">
            <v>28.39</v>
          </cell>
          <cell r="L25">
            <v>29.105</v>
          </cell>
          <cell r="M25">
            <v>29.2</v>
          </cell>
          <cell r="N25">
            <v>26.39</v>
          </cell>
          <cell r="O25">
            <v>28.175000000000001</v>
          </cell>
          <cell r="P25">
            <v>28.815000000000001</v>
          </cell>
          <cell r="Q25">
            <v>25.79</v>
          </cell>
          <cell r="R25">
            <v>77.724999999999895</v>
          </cell>
          <cell r="S25">
            <v>25.25</v>
          </cell>
          <cell r="T25">
            <v>23.75</v>
          </cell>
          <cell r="U25">
            <v>395</v>
          </cell>
          <cell r="V25">
            <v>365</v>
          </cell>
          <cell r="W25">
            <v>27.75</v>
          </cell>
          <cell r="X25">
            <v>104.175</v>
          </cell>
          <cell r="Y25">
            <v>110.55</v>
          </cell>
        </row>
        <row r="26">
          <cell r="A26">
            <v>37893</v>
          </cell>
          <cell r="B26">
            <v>51.75</v>
          </cell>
          <cell r="C26">
            <v>62.1875</v>
          </cell>
          <cell r="D26">
            <v>75.150000000000006</v>
          </cell>
          <cell r="E26">
            <v>83.65</v>
          </cell>
          <cell r="F26">
            <v>247</v>
          </cell>
          <cell r="G26">
            <v>69.150000000000006</v>
          </cell>
          <cell r="H26">
            <v>75.5</v>
          </cell>
          <cell r="I26">
            <v>73.150000000000006</v>
          </cell>
          <cell r="J26">
            <v>24.05</v>
          </cell>
          <cell r="K26">
            <v>27.66</v>
          </cell>
          <cell r="L26">
            <v>28.35</v>
          </cell>
          <cell r="M26">
            <v>28.4</v>
          </cell>
          <cell r="N26">
            <v>25.66</v>
          </cell>
          <cell r="O26">
            <v>27.495000000000001</v>
          </cell>
          <cell r="P26">
            <v>28.085000000000001</v>
          </cell>
          <cell r="Q26">
            <v>25.06</v>
          </cell>
          <cell r="R26">
            <v>75.05</v>
          </cell>
          <cell r="S26">
            <v>24.125</v>
          </cell>
          <cell r="T26">
            <v>22.925000000000001</v>
          </cell>
          <cell r="U26">
            <v>395</v>
          </cell>
          <cell r="V26">
            <v>365</v>
          </cell>
          <cell r="W26">
            <v>27.75</v>
          </cell>
          <cell r="X26">
            <v>104.45</v>
          </cell>
          <cell r="Y26">
            <v>112.45</v>
          </cell>
        </row>
        <row r="27">
          <cell r="A27">
            <v>37890</v>
          </cell>
          <cell r="B27">
            <v>50.75</v>
          </cell>
          <cell r="C27">
            <v>62</v>
          </cell>
          <cell r="D27">
            <v>76.099999999999895</v>
          </cell>
          <cell r="E27">
            <v>83.849999999999895</v>
          </cell>
          <cell r="F27">
            <v>247</v>
          </cell>
          <cell r="G27">
            <v>70.099999999999895</v>
          </cell>
          <cell r="H27">
            <v>74.474999999999895</v>
          </cell>
          <cell r="I27">
            <v>72.224999999999895</v>
          </cell>
          <cell r="J27">
            <v>24.15</v>
          </cell>
          <cell r="K27">
            <v>27.414999999999999</v>
          </cell>
          <cell r="L27">
            <v>28.19</v>
          </cell>
          <cell r="M27">
            <v>28.16</v>
          </cell>
          <cell r="N27">
            <v>25.515000000000001</v>
          </cell>
          <cell r="O27">
            <v>27.094999999999999</v>
          </cell>
          <cell r="P27">
            <v>27.94</v>
          </cell>
          <cell r="Q27">
            <v>24.914999999999999</v>
          </cell>
          <cell r="R27">
            <v>73.974999999999895</v>
          </cell>
          <cell r="S27">
            <v>23.625</v>
          </cell>
          <cell r="T27">
            <v>22.675000000000001</v>
          </cell>
          <cell r="U27">
            <v>390</v>
          </cell>
          <cell r="V27">
            <v>355</v>
          </cell>
          <cell r="W27">
            <v>27.875</v>
          </cell>
          <cell r="X27">
            <v>100.9</v>
          </cell>
          <cell r="Y27">
            <v>106.9</v>
          </cell>
        </row>
        <row r="28">
          <cell r="A28">
            <v>37889</v>
          </cell>
          <cell r="B28">
            <v>51.125</v>
          </cell>
          <cell r="C28">
            <v>62</v>
          </cell>
          <cell r="D28">
            <v>75.2</v>
          </cell>
          <cell r="E28">
            <v>82.95</v>
          </cell>
          <cell r="F28">
            <v>247</v>
          </cell>
          <cell r="G28">
            <v>69.2</v>
          </cell>
          <cell r="H28">
            <v>74.125</v>
          </cell>
          <cell r="I28">
            <v>72.125</v>
          </cell>
          <cell r="J28">
            <v>24.324999999999999</v>
          </cell>
          <cell r="K28">
            <v>27.734999999999999</v>
          </cell>
          <cell r="L28">
            <v>28.13</v>
          </cell>
          <cell r="M28">
            <v>28.29</v>
          </cell>
          <cell r="N28">
            <v>25.835000000000001</v>
          </cell>
          <cell r="O28">
            <v>27.265000000000001</v>
          </cell>
          <cell r="P28">
            <v>28.26</v>
          </cell>
          <cell r="Q28">
            <v>25.234999999999999</v>
          </cell>
          <cell r="R28">
            <v>73.7</v>
          </cell>
          <cell r="S28">
            <v>23.85</v>
          </cell>
          <cell r="T28">
            <v>22.875</v>
          </cell>
          <cell r="U28">
            <v>390</v>
          </cell>
          <cell r="V28">
            <v>355</v>
          </cell>
          <cell r="W28">
            <v>28.125</v>
          </cell>
          <cell r="X28">
            <v>98.474999999999895</v>
          </cell>
          <cell r="Y28">
            <v>104.47499999999999</v>
          </cell>
        </row>
        <row r="29">
          <cell r="A29">
            <v>37888</v>
          </cell>
          <cell r="B29">
            <v>51</v>
          </cell>
          <cell r="C29">
            <v>61.5</v>
          </cell>
          <cell r="D29">
            <v>75.474999999999895</v>
          </cell>
          <cell r="E29">
            <v>83.599999999999895</v>
          </cell>
          <cell r="F29">
            <v>245</v>
          </cell>
          <cell r="G29">
            <v>69.474999999999895</v>
          </cell>
          <cell r="H29">
            <v>74.8</v>
          </cell>
          <cell r="I29">
            <v>72.174999999999997</v>
          </cell>
          <cell r="J29">
            <v>24.475000000000001</v>
          </cell>
          <cell r="K29">
            <v>27.684999999999999</v>
          </cell>
          <cell r="L29">
            <v>28.02</v>
          </cell>
          <cell r="M29">
            <v>28.24</v>
          </cell>
          <cell r="N29">
            <v>25.734999999999999</v>
          </cell>
          <cell r="O29">
            <v>26.965</v>
          </cell>
          <cell r="P29">
            <v>28.16</v>
          </cell>
          <cell r="Q29">
            <v>25.085000000000001</v>
          </cell>
          <cell r="R29">
            <v>73.924999999999997</v>
          </cell>
          <cell r="S29">
            <v>24</v>
          </cell>
          <cell r="T29">
            <v>22.774999999999999</v>
          </cell>
          <cell r="U29">
            <v>390</v>
          </cell>
          <cell r="V29">
            <v>355</v>
          </cell>
          <cell r="W29">
            <v>28.125</v>
          </cell>
          <cell r="X29">
            <v>95.8</v>
          </cell>
          <cell r="Y29">
            <v>101.3</v>
          </cell>
        </row>
        <row r="30">
          <cell r="A30">
            <v>37887</v>
          </cell>
          <cell r="B30">
            <v>50</v>
          </cell>
          <cell r="C30">
            <v>60.25</v>
          </cell>
          <cell r="D30">
            <v>72.7</v>
          </cell>
          <cell r="E30">
            <v>79.7</v>
          </cell>
          <cell r="F30">
            <v>245</v>
          </cell>
          <cell r="G30">
            <v>66.7</v>
          </cell>
          <cell r="H30">
            <v>71.325000000000003</v>
          </cell>
          <cell r="I30">
            <v>68.825000000000003</v>
          </cell>
          <cell r="J30">
            <v>24</v>
          </cell>
          <cell r="K30">
            <v>26.635000000000002</v>
          </cell>
          <cell r="L30">
            <v>26.94</v>
          </cell>
          <cell r="M30">
            <v>27.13</v>
          </cell>
          <cell r="N30">
            <v>24.684999999999999</v>
          </cell>
          <cell r="O30">
            <v>26.08</v>
          </cell>
          <cell r="P30">
            <v>27.11</v>
          </cell>
          <cell r="Q30">
            <v>23.984999999999999</v>
          </cell>
          <cell r="R30">
            <v>70.5</v>
          </cell>
          <cell r="S30">
            <v>23.25</v>
          </cell>
          <cell r="T30">
            <v>21.9</v>
          </cell>
          <cell r="U30">
            <v>340</v>
          </cell>
          <cell r="V30">
            <v>305</v>
          </cell>
          <cell r="W30">
            <v>27.625</v>
          </cell>
          <cell r="X30">
            <v>92.825000000000003</v>
          </cell>
          <cell r="Y30">
            <v>98.375</v>
          </cell>
        </row>
        <row r="31">
          <cell r="A31">
            <v>37886</v>
          </cell>
          <cell r="B31">
            <v>50.125</v>
          </cell>
          <cell r="C31">
            <v>60.25</v>
          </cell>
          <cell r="D31">
            <v>74.875</v>
          </cell>
          <cell r="E31">
            <v>82.25</v>
          </cell>
          <cell r="F31">
            <v>245</v>
          </cell>
          <cell r="G31">
            <v>68.625</v>
          </cell>
          <cell r="H31">
            <v>70.625</v>
          </cell>
          <cell r="I31">
            <v>67.825000000000003</v>
          </cell>
          <cell r="J31">
            <v>23.774999999999999</v>
          </cell>
          <cell r="K31">
            <v>26.625</v>
          </cell>
          <cell r="L31">
            <v>26.93</v>
          </cell>
          <cell r="M31">
            <v>26.96</v>
          </cell>
          <cell r="N31">
            <v>24.725000000000001</v>
          </cell>
          <cell r="O31">
            <v>25.73</v>
          </cell>
          <cell r="P31">
            <v>27.15</v>
          </cell>
          <cell r="Q31">
            <v>24.125</v>
          </cell>
          <cell r="R31">
            <v>69.25</v>
          </cell>
          <cell r="S31">
            <v>23.5</v>
          </cell>
          <cell r="T31">
            <v>21.5</v>
          </cell>
          <cell r="U31">
            <v>340</v>
          </cell>
          <cell r="V31">
            <v>300</v>
          </cell>
          <cell r="W31">
            <v>27.125</v>
          </cell>
          <cell r="X31">
            <v>93.875</v>
          </cell>
          <cell r="Y31">
            <v>99.424999999999997</v>
          </cell>
        </row>
        <row r="32">
          <cell r="A32">
            <v>37883</v>
          </cell>
          <cell r="B32">
            <v>50.5</v>
          </cell>
          <cell r="C32">
            <v>59.75</v>
          </cell>
          <cell r="D32">
            <v>74.575000000000003</v>
          </cell>
          <cell r="E32">
            <v>81.45</v>
          </cell>
          <cell r="F32">
            <v>245</v>
          </cell>
          <cell r="G32">
            <v>67.575000000000003</v>
          </cell>
          <cell r="H32">
            <v>70.575000000000003</v>
          </cell>
          <cell r="I32">
            <v>67.400000000000006</v>
          </cell>
          <cell r="J32">
            <v>23.725000000000001</v>
          </cell>
          <cell r="K32">
            <v>26.545000000000002</v>
          </cell>
          <cell r="L32">
            <v>26.94</v>
          </cell>
          <cell r="M32">
            <v>27.03</v>
          </cell>
          <cell r="N32">
            <v>24.645</v>
          </cell>
          <cell r="O32">
            <v>25.28</v>
          </cell>
          <cell r="P32">
            <v>27.07</v>
          </cell>
          <cell r="Q32">
            <v>24.045000000000002</v>
          </cell>
          <cell r="R32">
            <v>69.099999999999895</v>
          </cell>
          <cell r="S32">
            <v>23.5</v>
          </cell>
          <cell r="T32">
            <v>21.125</v>
          </cell>
          <cell r="U32">
            <v>310</v>
          </cell>
          <cell r="V32">
            <v>300</v>
          </cell>
          <cell r="W32">
            <v>27.125</v>
          </cell>
          <cell r="X32">
            <v>97.099999999999895</v>
          </cell>
          <cell r="Y32">
            <v>102.65</v>
          </cell>
        </row>
        <row r="33">
          <cell r="A33">
            <v>37882</v>
          </cell>
          <cell r="B33">
            <v>50.5</v>
          </cell>
          <cell r="C33">
            <v>60.125</v>
          </cell>
          <cell r="D33">
            <v>76.400000000000006</v>
          </cell>
          <cell r="E33">
            <v>83.65</v>
          </cell>
          <cell r="F33">
            <v>240</v>
          </cell>
          <cell r="G33">
            <v>69.400000000000006</v>
          </cell>
          <cell r="H33">
            <v>70.599999999999895</v>
          </cell>
          <cell r="I33">
            <v>67.974999999999895</v>
          </cell>
          <cell r="J33">
            <v>24.024999999999999</v>
          </cell>
          <cell r="K33">
            <v>26.565000000000001</v>
          </cell>
          <cell r="L33">
            <v>27.13</v>
          </cell>
          <cell r="M33">
            <v>27.17</v>
          </cell>
          <cell r="N33">
            <v>24.765000000000001</v>
          </cell>
          <cell r="O33">
            <v>25.63</v>
          </cell>
          <cell r="P33">
            <v>27.19</v>
          </cell>
          <cell r="Q33">
            <v>24.164999999999999</v>
          </cell>
          <cell r="R33">
            <v>69.825000000000003</v>
          </cell>
          <cell r="S33">
            <v>23.5</v>
          </cell>
          <cell r="T33">
            <v>21.125</v>
          </cell>
          <cell r="U33">
            <v>310</v>
          </cell>
          <cell r="V33">
            <v>280</v>
          </cell>
          <cell r="W33">
            <v>27.875</v>
          </cell>
          <cell r="X33">
            <v>95.7</v>
          </cell>
          <cell r="Y33">
            <v>102.45</v>
          </cell>
        </row>
        <row r="34">
          <cell r="A34">
            <v>37881</v>
          </cell>
          <cell r="B34">
            <v>51.125</v>
          </cell>
          <cell r="C34">
            <v>60.375</v>
          </cell>
          <cell r="D34">
            <v>76.25</v>
          </cell>
          <cell r="E34">
            <v>83.5</v>
          </cell>
          <cell r="F34">
            <v>240</v>
          </cell>
          <cell r="G34">
            <v>70.25</v>
          </cell>
          <cell r="H34">
            <v>70.7</v>
          </cell>
          <cell r="I34">
            <v>68.349999999999895</v>
          </cell>
          <cell r="J34">
            <v>24.024999999999999</v>
          </cell>
          <cell r="K34">
            <v>26.465</v>
          </cell>
          <cell r="L34">
            <v>26.98</v>
          </cell>
          <cell r="M34">
            <v>27.03</v>
          </cell>
          <cell r="N34">
            <v>24.664999999999999</v>
          </cell>
          <cell r="O34">
            <v>25.954999999999998</v>
          </cell>
          <cell r="P34">
            <v>27.09</v>
          </cell>
          <cell r="Q34">
            <v>24.065000000000001</v>
          </cell>
          <cell r="R34">
            <v>70.2</v>
          </cell>
          <cell r="S34">
            <v>23.5</v>
          </cell>
          <cell r="T34">
            <v>21.2</v>
          </cell>
          <cell r="U34">
            <v>300</v>
          </cell>
          <cell r="V34">
            <v>280</v>
          </cell>
          <cell r="W34">
            <v>27.875</v>
          </cell>
          <cell r="X34">
            <v>96.4</v>
          </cell>
          <cell r="Y34">
            <v>102.65</v>
          </cell>
        </row>
        <row r="35">
          <cell r="A35">
            <v>37880</v>
          </cell>
          <cell r="B35">
            <v>52</v>
          </cell>
          <cell r="C35">
            <v>61.25</v>
          </cell>
          <cell r="D35">
            <v>82.95</v>
          </cell>
          <cell r="E35">
            <v>91.45</v>
          </cell>
          <cell r="F35">
            <v>255</v>
          </cell>
          <cell r="G35">
            <v>75.95</v>
          </cell>
          <cell r="H35">
            <v>72.974999999999895</v>
          </cell>
          <cell r="I35">
            <v>70.75</v>
          </cell>
          <cell r="J35">
            <v>24.024999999999999</v>
          </cell>
          <cell r="K35">
            <v>27.08</v>
          </cell>
          <cell r="L35">
            <v>27.56</v>
          </cell>
          <cell r="M35">
            <v>27.56</v>
          </cell>
          <cell r="N35">
            <v>25.28</v>
          </cell>
          <cell r="O35">
            <v>26.195</v>
          </cell>
          <cell r="P35">
            <v>27.704999999999998</v>
          </cell>
          <cell r="Q35">
            <v>24.68</v>
          </cell>
          <cell r="R35">
            <v>72.5</v>
          </cell>
          <cell r="S35">
            <v>24</v>
          </cell>
          <cell r="T35">
            <v>21.7</v>
          </cell>
          <cell r="U35">
            <v>310</v>
          </cell>
          <cell r="V35">
            <v>285</v>
          </cell>
          <cell r="W35">
            <v>27.875</v>
          </cell>
          <cell r="X35">
            <v>93.9</v>
          </cell>
          <cell r="Y35">
            <v>99.775000000000006</v>
          </cell>
        </row>
        <row r="36">
          <cell r="A36">
            <v>37879</v>
          </cell>
          <cell r="B36">
            <v>52.5</v>
          </cell>
          <cell r="C36">
            <v>61.625</v>
          </cell>
          <cell r="D36">
            <v>88.075000000000003</v>
          </cell>
          <cell r="E36">
            <v>100.575</v>
          </cell>
          <cell r="F36">
            <v>265</v>
          </cell>
          <cell r="G36">
            <v>80.575000000000003</v>
          </cell>
          <cell r="H36">
            <v>74</v>
          </cell>
          <cell r="I36">
            <v>71.825000000000003</v>
          </cell>
          <cell r="J36">
            <v>24.324999999999999</v>
          </cell>
          <cell r="K36">
            <v>27.565000000000001</v>
          </cell>
          <cell r="L36">
            <v>28.1</v>
          </cell>
          <cell r="M36">
            <v>28.14</v>
          </cell>
          <cell r="N36">
            <v>25.765000000000001</v>
          </cell>
          <cell r="O36">
            <v>26.68</v>
          </cell>
          <cell r="P36">
            <v>28.19</v>
          </cell>
          <cell r="Q36">
            <v>25.164999999999999</v>
          </cell>
          <cell r="R36">
            <v>73.900000000000006</v>
          </cell>
          <cell r="S36">
            <v>25</v>
          </cell>
          <cell r="T36">
            <v>22.074999999999999</v>
          </cell>
          <cell r="U36">
            <v>310</v>
          </cell>
          <cell r="V36">
            <v>285</v>
          </cell>
          <cell r="W36">
            <v>28.125</v>
          </cell>
          <cell r="X36">
            <v>93.849999999999895</v>
          </cell>
          <cell r="Y36">
            <v>99.349999999999895</v>
          </cell>
        </row>
        <row r="37">
          <cell r="A37">
            <v>37876</v>
          </cell>
          <cell r="B37">
            <v>52.875</v>
          </cell>
          <cell r="C37">
            <v>61.5</v>
          </cell>
          <cell r="D37">
            <v>86.75</v>
          </cell>
          <cell r="E37">
            <v>99.75</v>
          </cell>
          <cell r="F37">
            <v>270</v>
          </cell>
          <cell r="G37">
            <v>79.75</v>
          </cell>
          <cell r="H37">
            <v>74.150000000000006</v>
          </cell>
          <cell r="I37">
            <v>71.8</v>
          </cell>
          <cell r="J37">
            <v>24.875</v>
          </cell>
          <cell r="K37">
            <v>27.63</v>
          </cell>
          <cell r="L37">
            <v>28.13</v>
          </cell>
          <cell r="M37">
            <v>28.27</v>
          </cell>
          <cell r="N37">
            <v>25.83</v>
          </cell>
          <cell r="O37">
            <v>26.7</v>
          </cell>
          <cell r="P37">
            <v>28.254999999999999</v>
          </cell>
          <cell r="Q37">
            <v>25.23</v>
          </cell>
          <cell r="R37">
            <v>74.150000000000006</v>
          </cell>
          <cell r="S37">
            <v>25.5</v>
          </cell>
          <cell r="T37">
            <v>21.65</v>
          </cell>
          <cell r="U37">
            <v>310</v>
          </cell>
          <cell r="V37">
            <v>285</v>
          </cell>
          <cell r="W37">
            <v>28.375</v>
          </cell>
          <cell r="X37">
            <v>87.55</v>
          </cell>
          <cell r="Y37">
            <v>93.05</v>
          </cell>
        </row>
        <row r="41">
          <cell r="B41" t="str">
            <v>Para sacar diferenciales</v>
          </cell>
        </row>
        <row r="42">
          <cell r="B42" t="str">
            <v>Para sacar diferenciales</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DATOS_PIMS"/>
      <sheetName val="PYGUPT"/>
      <sheetName val="LINEA BASE COMPROMISOS"/>
      <sheetName val="V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ZCFB-ORG.VTAS-RUTA-MAT"/>
      <sheetName val="BI ECOPETROL"/>
      <sheetName val="BI REFICAR"/>
      <sheetName val="BI  CARGUE EN CEROS Z40 ECP"/>
      <sheetName val="BI  CARGUE EN CEROS Z40 MNAL"/>
      <sheetName val="ZCFB-ORG.VENTAS-MAT"/>
      <sheetName val="calculo"/>
      <sheetName val="Materiales"/>
      <sheetName val="Hoja2"/>
      <sheetName val="BI"/>
      <sheetName val="BI  CARGUE EN CEROS Z40"/>
    </sheetNames>
    <sheetDataSet>
      <sheetData sheetId="0">
        <row r="33">
          <cell r="K33">
            <v>23.284926973210073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B3:T316"/>
  <sheetViews>
    <sheetView topLeftCell="C1" zoomScale="85" zoomScaleNormal="85" workbookViewId="0">
      <selection activeCell="A35" sqref="A35:I35"/>
    </sheetView>
  </sheetViews>
  <sheetFormatPr baseColWidth="10" defaultRowHeight="15" outlineLevelRow="2"/>
  <cols>
    <col min="1" max="1" width="0" style="480" hidden="1" customWidth="1"/>
    <col min="2" max="2" width="30.5703125" style="480" bestFit="1" customWidth="1"/>
    <col min="3" max="3" width="3.85546875" style="480" customWidth="1"/>
    <col min="4" max="4" width="108" style="480" customWidth="1"/>
    <col min="5" max="5" width="23.7109375" style="481" hidden="1" customWidth="1"/>
    <col min="6" max="6" width="21.28515625" style="480" customWidth="1"/>
    <col min="7" max="8" width="11.42578125" style="480"/>
    <col min="9" max="9" width="3.140625" style="480" customWidth="1"/>
    <col min="10" max="10" width="11.42578125" style="480" hidden="1" customWidth="1"/>
    <col min="11" max="11" width="13.85546875" style="480" customWidth="1"/>
    <col min="12" max="15" width="11.42578125" style="480"/>
    <col min="16" max="16" width="16" style="480" customWidth="1"/>
    <col min="17" max="17" width="33.28515625" style="480" bestFit="1" customWidth="1"/>
    <col min="18" max="18" width="11.42578125" style="480"/>
    <col min="19" max="19" width="33.28515625" style="480" bestFit="1" customWidth="1"/>
    <col min="20" max="16384" width="11.42578125" style="480"/>
  </cols>
  <sheetData>
    <row r="3" spans="4:16" ht="21">
      <c r="D3" s="482" t="s">
        <v>400</v>
      </c>
    </row>
    <row r="4" spans="4:16">
      <c r="D4" s="488" t="s">
        <v>401</v>
      </c>
    </row>
    <row r="5" spans="4:16">
      <c r="D5" s="489" t="s">
        <v>402</v>
      </c>
    </row>
    <row r="6" spans="4:16">
      <c r="D6" s="480" t="s">
        <v>403</v>
      </c>
    </row>
    <row r="7" spans="4:16">
      <c r="D7" s="480" t="s">
        <v>404</v>
      </c>
    </row>
    <row r="8" spans="4:16">
      <c r="D8" s="480" t="s">
        <v>405</v>
      </c>
    </row>
    <row r="9" spans="4:16">
      <c r="D9" s="634" t="s">
        <v>694</v>
      </c>
    </row>
    <row r="12" spans="4:16">
      <c r="O12" s="480">
        <v>1</v>
      </c>
      <c r="P12" s="489" t="s">
        <v>407</v>
      </c>
    </row>
    <row r="13" spans="4:16">
      <c r="O13" s="480">
        <v>2</v>
      </c>
      <c r="P13" s="489" t="s">
        <v>408</v>
      </c>
    </row>
    <row r="14" spans="4:16" ht="21">
      <c r="D14" s="681" t="s">
        <v>409</v>
      </c>
      <c r="E14" s="682" t="s">
        <v>383</v>
      </c>
      <c r="F14" s="683" t="s">
        <v>384</v>
      </c>
      <c r="G14" s="684"/>
      <c r="H14" s="684"/>
      <c r="I14" s="684"/>
      <c r="J14" s="685"/>
      <c r="K14" s="679" t="s">
        <v>631</v>
      </c>
      <c r="O14" s="480">
        <v>3</v>
      </c>
      <c r="P14" s="489" t="s">
        <v>410</v>
      </c>
    </row>
    <row r="15" spans="4:16" ht="21">
      <c r="D15" s="681"/>
      <c r="E15" s="682"/>
      <c r="F15" s="686" t="s">
        <v>695</v>
      </c>
      <c r="G15" s="687"/>
      <c r="H15" s="687"/>
      <c r="I15" s="687"/>
      <c r="J15" s="688"/>
      <c r="K15" s="680"/>
      <c r="O15" s="480">
        <v>4</v>
      </c>
      <c r="P15" s="489" t="s">
        <v>412</v>
      </c>
    </row>
    <row r="16" spans="4:16">
      <c r="D16" s="490" t="s">
        <v>413</v>
      </c>
      <c r="E16" s="519"/>
      <c r="F16" s="692" t="s">
        <v>414</v>
      </c>
      <c r="G16" s="692"/>
      <c r="H16" s="692"/>
      <c r="I16" s="692"/>
      <c r="J16" s="692"/>
      <c r="K16" s="496"/>
      <c r="L16" s="631"/>
      <c r="M16" s="609"/>
      <c r="P16" s="489"/>
    </row>
    <row r="17" spans="4:19">
      <c r="D17" s="490" t="s">
        <v>415</v>
      </c>
      <c r="E17" s="526"/>
      <c r="F17" s="690" t="s">
        <v>414</v>
      </c>
      <c r="G17" s="690"/>
      <c r="H17" s="690"/>
      <c r="I17" s="690"/>
      <c r="J17" s="690"/>
      <c r="K17" s="496"/>
      <c r="L17" s="631"/>
      <c r="M17" s="609"/>
      <c r="P17" s="489"/>
      <c r="S17" s="184" t="s">
        <v>392</v>
      </c>
    </row>
    <row r="18" spans="4:19">
      <c r="D18" s="490" t="s">
        <v>416</v>
      </c>
      <c r="E18" s="526"/>
      <c r="F18" s="690" t="s">
        <v>414</v>
      </c>
      <c r="G18" s="690"/>
      <c r="H18" s="690"/>
      <c r="I18" s="690"/>
      <c r="J18" s="690"/>
      <c r="K18" s="496"/>
      <c r="L18" s="631"/>
      <c r="M18" s="609"/>
      <c r="O18" s="480">
        <v>5</v>
      </c>
      <c r="P18" s="489" t="s">
        <v>417</v>
      </c>
      <c r="S18" s="184" t="s">
        <v>394</v>
      </c>
    </row>
    <row r="19" spans="4:19">
      <c r="D19" s="490" t="s">
        <v>418</v>
      </c>
      <c r="E19" s="526" t="s">
        <v>388</v>
      </c>
      <c r="F19" s="690" t="s">
        <v>389</v>
      </c>
      <c r="G19" s="690"/>
      <c r="H19" s="690"/>
      <c r="I19" s="690"/>
      <c r="J19" s="690"/>
      <c r="K19" s="522">
        <f>+'COMBUSTIBLES '!E7</f>
        <v>4583.5</v>
      </c>
      <c r="L19" s="631" t="s">
        <v>628</v>
      </c>
      <c r="M19" s="609"/>
      <c r="S19" s="184" t="s">
        <v>387</v>
      </c>
    </row>
    <row r="20" spans="4:19">
      <c r="D20" s="490" t="s">
        <v>419</v>
      </c>
      <c r="E20" s="526" t="s">
        <v>420</v>
      </c>
      <c r="F20" s="690" t="s">
        <v>389</v>
      </c>
      <c r="G20" s="690"/>
      <c r="H20" s="690"/>
      <c r="I20" s="690"/>
      <c r="J20" s="690"/>
      <c r="K20" s="534">
        <f>+'COMBUSTIBLES '!E8</f>
        <v>8.1370000000000005</v>
      </c>
      <c r="L20" s="631" t="s">
        <v>628</v>
      </c>
      <c r="M20" s="609"/>
      <c r="S20" s="184" t="s">
        <v>390</v>
      </c>
    </row>
    <row r="21" spans="4:19">
      <c r="D21" s="490" t="s">
        <v>421</v>
      </c>
      <c r="E21" s="526"/>
      <c r="F21" s="691" t="s">
        <v>422</v>
      </c>
      <c r="G21" s="691"/>
      <c r="H21" s="691"/>
      <c r="I21" s="691"/>
      <c r="J21" s="691"/>
      <c r="K21" s="522">
        <f>+Variables!E27</f>
        <v>5024.59</v>
      </c>
      <c r="L21" s="631" t="s">
        <v>628</v>
      </c>
      <c r="M21" s="609"/>
      <c r="S21" s="184" t="s">
        <v>391</v>
      </c>
    </row>
    <row r="22" spans="4:19">
      <c r="D22" s="490" t="s">
        <v>425</v>
      </c>
      <c r="E22" s="526" t="s">
        <v>426</v>
      </c>
      <c r="F22" s="690" t="s">
        <v>389</v>
      </c>
      <c r="G22" s="690"/>
      <c r="H22" s="690"/>
      <c r="I22" s="690"/>
      <c r="J22" s="690"/>
      <c r="K22" s="522">
        <f>+'COMBUSTIBLES '!B8</f>
        <v>8.1370000000000005</v>
      </c>
      <c r="L22" s="631" t="s">
        <v>628</v>
      </c>
      <c r="M22" s="609"/>
      <c r="S22" s="184" t="s">
        <v>395</v>
      </c>
    </row>
    <row r="23" spans="4:19">
      <c r="D23" s="490" t="s">
        <v>427</v>
      </c>
      <c r="E23" s="526" t="s">
        <v>393</v>
      </c>
      <c r="F23" s="690" t="s">
        <v>389</v>
      </c>
      <c r="G23" s="690"/>
      <c r="H23" s="690"/>
      <c r="I23" s="690"/>
      <c r="J23" s="690"/>
      <c r="K23" s="522">
        <f>+'COMBUSTIBLES '!B7</f>
        <v>4028</v>
      </c>
      <c r="L23" s="631" t="s">
        <v>628</v>
      </c>
      <c r="M23" s="609"/>
      <c r="S23" s="184" t="s">
        <v>397</v>
      </c>
    </row>
    <row r="24" spans="4:19">
      <c r="D24" s="490" t="s">
        <v>423</v>
      </c>
      <c r="E24" s="527" t="s">
        <v>424</v>
      </c>
      <c r="F24" s="691" t="s">
        <v>422</v>
      </c>
      <c r="G24" s="691"/>
      <c r="H24" s="691"/>
      <c r="I24" s="691"/>
      <c r="J24" s="691"/>
      <c r="K24" s="522">
        <f>+Variables!E20</f>
        <v>5078.7700000000004</v>
      </c>
      <c r="L24" s="631" t="s">
        <v>628</v>
      </c>
      <c r="M24" s="609"/>
      <c r="S24" s="184" t="s">
        <v>399</v>
      </c>
    </row>
    <row r="25" spans="4:19">
      <c r="D25" s="490" t="s">
        <v>428</v>
      </c>
      <c r="E25" s="526" t="s">
        <v>420</v>
      </c>
      <c r="F25" s="690" t="s">
        <v>429</v>
      </c>
      <c r="G25" s="690"/>
      <c r="H25" s="690"/>
      <c r="I25" s="690"/>
      <c r="J25" s="690"/>
      <c r="K25" s="522">
        <f>+BIODIESEL!E8</f>
        <v>4491.83</v>
      </c>
      <c r="L25" s="631" t="s">
        <v>628</v>
      </c>
      <c r="M25" s="609"/>
    </row>
    <row r="26" spans="4:19">
      <c r="D26" s="490" t="s">
        <v>430</v>
      </c>
      <c r="E26" s="526" t="s">
        <v>396</v>
      </c>
      <c r="F26" s="690" t="s">
        <v>429</v>
      </c>
      <c r="G26" s="690"/>
      <c r="H26" s="690"/>
      <c r="I26" s="690"/>
      <c r="J26" s="690"/>
      <c r="K26" s="522">
        <f>+BIODIESEL!E10</f>
        <v>4717.6000000000004</v>
      </c>
      <c r="L26" s="631" t="s">
        <v>628</v>
      </c>
      <c r="M26" s="609"/>
    </row>
    <row r="27" spans="4:19">
      <c r="D27" s="490" t="s">
        <v>431</v>
      </c>
      <c r="E27" s="526" t="s">
        <v>432</v>
      </c>
      <c r="F27" s="690" t="s">
        <v>429</v>
      </c>
      <c r="G27" s="690"/>
      <c r="H27" s="690"/>
      <c r="I27" s="690"/>
      <c r="J27" s="690"/>
      <c r="K27" s="522">
        <f>+BIODIESEL!E14</f>
        <v>8.1370000000000005</v>
      </c>
      <c r="L27" s="631" t="s">
        <v>628</v>
      </c>
      <c r="M27" s="609"/>
    </row>
    <row r="28" spans="4:19">
      <c r="D28" s="490" t="s">
        <v>433</v>
      </c>
      <c r="E28" s="526" t="s">
        <v>434</v>
      </c>
      <c r="F28" s="690" t="s">
        <v>429</v>
      </c>
      <c r="G28" s="690"/>
      <c r="H28" s="690"/>
      <c r="I28" s="690"/>
      <c r="J28" s="690"/>
      <c r="K28" s="522">
        <f>+BIODIESEL!E9</f>
        <v>225.77</v>
      </c>
      <c r="L28" s="631" t="s">
        <v>628</v>
      </c>
      <c r="M28" s="609"/>
    </row>
    <row r="29" spans="4:19">
      <c r="D29" s="490" t="s">
        <v>435</v>
      </c>
      <c r="E29" s="527" t="s">
        <v>424</v>
      </c>
      <c r="F29" s="691" t="s">
        <v>422</v>
      </c>
      <c r="G29" s="691"/>
      <c r="H29" s="691"/>
      <c r="I29" s="691"/>
      <c r="J29" s="691"/>
      <c r="K29" s="522">
        <f>+Variables!E27</f>
        <v>5024.59</v>
      </c>
      <c r="L29" s="631" t="s">
        <v>628</v>
      </c>
      <c r="M29" s="609"/>
    </row>
    <row r="30" spans="4:19">
      <c r="D30" s="490" t="s">
        <v>436</v>
      </c>
      <c r="E30" s="526" t="s">
        <v>420</v>
      </c>
      <c r="F30" s="690" t="s">
        <v>389</v>
      </c>
      <c r="G30" s="690"/>
      <c r="H30" s="690"/>
      <c r="I30" s="690"/>
      <c r="J30" s="690"/>
      <c r="K30" s="522">
        <f>+'COMBUSTIBLES '!E8</f>
        <v>8.1370000000000005</v>
      </c>
      <c r="L30" s="631" t="s">
        <v>628</v>
      </c>
      <c r="M30" s="609"/>
    </row>
    <row r="31" spans="4:19">
      <c r="D31" s="490" t="s">
        <v>437</v>
      </c>
      <c r="E31" s="526" t="s">
        <v>388</v>
      </c>
      <c r="F31" s="690" t="s">
        <v>389</v>
      </c>
      <c r="G31" s="690"/>
      <c r="H31" s="690"/>
      <c r="I31" s="690"/>
      <c r="J31" s="690"/>
      <c r="K31" s="522">
        <f>+'COMBUSTIBLES '!E7</f>
        <v>4583.5</v>
      </c>
      <c r="L31" s="631" t="s">
        <v>628</v>
      </c>
      <c r="M31" s="609"/>
    </row>
    <row r="32" spans="4:19">
      <c r="D32" s="490" t="s">
        <v>438</v>
      </c>
      <c r="E32" s="527" t="s">
        <v>424</v>
      </c>
      <c r="F32" s="691" t="s">
        <v>422</v>
      </c>
      <c r="G32" s="691"/>
      <c r="H32" s="691"/>
      <c r="I32" s="691"/>
      <c r="J32" s="691"/>
      <c r="K32" s="522">
        <f>+Variables!E27</f>
        <v>5024.59</v>
      </c>
      <c r="L32" s="631" t="s">
        <v>628</v>
      </c>
      <c r="M32" s="609"/>
    </row>
    <row r="33" spans="4:13">
      <c r="D33" s="490" t="s">
        <v>439</v>
      </c>
      <c r="E33" s="526" t="s">
        <v>388</v>
      </c>
      <c r="F33" s="690" t="s">
        <v>389</v>
      </c>
      <c r="G33" s="690"/>
      <c r="H33" s="690"/>
      <c r="I33" s="690"/>
      <c r="J33" s="690"/>
      <c r="K33" s="522">
        <f>+'COMBUSTIBLES '!E7</f>
        <v>4583.5</v>
      </c>
      <c r="L33" s="631" t="s">
        <v>628</v>
      </c>
      <c r="M33" s="609"/>
    </row>
    <row r="34" spans="4:13">
      <c r="D34" s="490" t="s">
        <v>440</v>
      </c>
      <c r="E34" s="527" t="s">
        <v>424</v>
      </c>
      <c r="F34" s="691" t="s">
        <v>422</v>
      </c>
      <c r="G34" s="691"/>
      <c r="H34" s="691"/>
      <c r="I34" s="691"/>
      <c r="J34" s="691"/>
      <c r="K34" s="522">
        <f>+Variables!E27</f>
        <v>5024.59</v>
      </c>
      <c r="L34" s="631" t="s">
        <v>628</v>
      </c>
      <c r="M34" s="609"/>
    </row>
    <row r="35" spans="4:13" outlineLevel="1">
      <c r="D35" s="490" t="s">
        <v>441</v>
      </c>
      <c r="E35" s="526" t="s">
        <v>398</v>
      </c>
      <c r="F35" s="690" t="s">
        <v>429</v>
      </c>
      <c r="G35" s="690"/>
      <c r="H35" s="690"/>
      <c r="I35" s="690"/>
      <c r="J35" s="690"/>
      <c r="K35" s="522">
        <f>+BIODIESEL!F10</f>
        <v>4851.6899999999996</v>
      </c>
      <c r="L35" s="542"/>
      <c r="M35" s="542"/>
    </row>
    <row r="36" spans="4:13" outlineLevel="1">
      <c r="D36" s="490" t="s">
        <v>442</v>
      </c>
      <c r="E36" s="526" t="s">
        <v>420</v>
      </c>
      <c r="F36" s="690" t="s">
        <v>389</v>
      </c>
      <c r="G36" s="690"/>
      <c r="H36" s="690"/>
      <c r="I36" s="690"/>
      <c r="J36" s="690"/>
      <c r="K36" s="522">
        <f>+'COMBUSTIBLES '!E8</f>
        <v>8.1370000000000005</v>
      </c>
      <c r="L36" s="542"/>
      <c r="M36" s="542"/>
    </row>
    <row r="37" spans="4:13" outlineLevel="1">
      <c r="D37" s="490" t="s">
        <v>443</v>
      </c>
      <c r="E37" s="526" t="s">
        <v>444</v>
      </c>
      <c r="F37" s="690" t="s">
        <v>429</v>
      </c>
      <c r="G37" s="690"/>
      <c r="H37" s="690"/>
      <c r="I37" s="690"/>
      <c r="J37" s="690"/>
      <c r="K37" s="522">
        <f>+BIODIESEL!F8</f>
        <v>4400.16</v>
      </c>
      <c r="L37" s="542"/>
      <c r="M37" s="542"/>
    </row>
    <row r="38" spans="4:13" outlineLevel="1">
      <c r="D38" s="490" t="s">
        <v>445</v>
      </c>
      <c r="E38" s="526" t="s">
        <v>446</v>
      </c>
      <c r="F38" s="690" t="s">
        <v>429</v>
      </c>
      <c r="G38" s="690"/>
      <c r="H38" s="690"/>
      <c r="I38" s="690"/>
      <c r="J38" s="690"/>
      <c r="K38" s="522">
        <f>+BIODIESEL!F9</f>
        <v>451.53</v>
      </c>
      <c r="L38" s="542"/>
      <c r="M38" s="542"/>
    </row>
    <row r="39" spans="4:13" outlineLevel="1">
      <c r="D39" s="490" t="s">
        <v>447</v>
      </c>
      <c r="E39" s="527" t="s">
        <v>424</v>
      </c>
      <c r="F39" s="691" t="s">
        <v>422</v>
      </c>
      <c r="G39" s="691"/>
      <c r="H39" s="691"/>
      <c r="I39" s="691"/>
      <c r="J39" s="691"/>
      <c r="K39" s="522">
        <f>+Variables!E27</f>
        <v>5024.59</v>
      </c>
      <c r="L39" s="542"/>
      <c r="M39" s="542"/>
    </row>
    <row r="40" spans="4:13">
      <c r="D40" s="490" t="s">
        <v>448</v>
      </c>
      <c r="E40" s="526" t="s">
        <v>420</v>
      </c>
      <c r="F40" s="690" t="s">
        <v>389</v>
      </c>
      <c r="G40" s="690"/>
      <c r="H40" s="690"/>
      <c r="I40" s="690"/>
      <c r="J40" s="690"/>
      <c r="K40" s="522">
        <f>+'COMBUSTIBLES '!E8</f>
        <v>8.1370000000000005</v>
      </c>
      <c r="L40" s="631" t="s">
        <v>628</v>
      </c>
      <c r="M40" s="609"/>
    </row>
    <row r="41" spans="4:13">
      <c r="D41" s="490" t="s">
        <v>449</v>
      </c>
      <c r="E41" s="526" t="s">
        <v>388</v>
      </c>
      <c r="F41" s="690" t="s">
        <v>389</v>
      </c>
      <c r="G41" s="690"/>
      <c r="H41" s="690"/>
      <c r="I41" s="690"/>
      <c r="J41" s="690"/>
      <c r="K41" s="522">
        <f>+'COMBUSTIBLES '!E7</f>
        <v>4583.5</v>
      </c>
      <c r="L41" s="631" t="s">
        <v>628</v>
      </c>
      <c r="M41" s="609"/>
    </row>
    <row r="42" spans="4:13">
      <c r="D42" s="490" t="s">
        <v>450</v>
      </c>
      <c r="E42" s="527" t="s">
        <v>424</v>
      </c>
      <c r="F42" s="691" t="s">
        <v>422</v>
      </c>
      <c r="G42" s="691"/>
      <c r="H42" s="691"/>
      <c r="I42" s="691"/>
      <c r="J42" s="691"/>
      <c r="K42" s="535">
        <f>+Variables!E27</f>
        <v>5024.59</v>
      </c>
      <c r="L42" s="631" t="s">
        <v>628</v>
      </c>
      <c r="M42" s="609"/>
    </row>
    <row r="43" spans="4:13">
      <c r="D43" s="490" t="s">
        <v>451</v>
      </c>
      <c r="E43" s="526" t="s">
        <v>396</v>
      </c>
      <c r="F43" s="690" t="s">
        <v>429</v>
      </c>
      <c r="G43" s="690"/>
      <c r="H43" s="690"/>
      <c r="I43" s="690"/>
      <c r="J43" s="690"/>
      <c r="K43" s="535">
        <f>+BIODIESEL!E10</f>
        <v>4717.6000000000004</v>
      </c>
      <c r="L43" s="631" t="s">
        <v>628</v>
      </c>
      <c r="M43" s="609"/>
    </row>
    <row r="44" spans="4:13">
      <c r="D44" s="490" t="s">
        <v>452</v>
      </c>
      <c r="E44" s="526" t="s">
        <v>420</v>
      </c>
      <c r="F44" s="690" t="s">
        <v>429</v>
      </c>
      <c r="G44" s="690"/>
      <c r="H44" s="690"/>
      <c r="I44" s="690"/>
      <c r="J44" s="690"/>
      <c r="K44" s="535">
        <f>+BIODIESEL!E8</f>
        <v>4491.83</v>
      </c>
      <c r="L44" s="631" t="s">
        <v>628</v>
      </c>
      <c r="M44" s="609"/>
    </row>
    <row r="45" spans="4:13">
      <c r="D45" s="490" t="s">
        <v>453</v>
      </c>
      <c r="E45" s="526" t="s">
        <v>434</v>
      </c>
      <c r="F45" s="690" t="s">
        <v>429</v>
      </c>
      <c r="G45" s="690"/>
      <c r="H45" s="690"/>
      <c r="I45" s="690"/>
      <c r="J45" s="690"/>
      <c r="K45" s="535">
        <f>+BIODIESEL!E9</f>
        <v>225.77</v>
      </c>
      <c r="L45" s="631" t="s">
        <v>628</v>
      </c>
      <c r="M45" s="609"/>
    </row>
    <row r="46" spans="4:13">
      <c r="D46" s="490" t="s">
        <v>454</v>
      </c>
      <c r="E46" s="527" t="s">
        <v>424</v>
      </c>
      <c r="F46" s="691" t="s">
        <v>422</v>
      </c>
      <c r="G46" s="691"/>
      <c r="H46" s="691"/>
      <c r="I46" s="691"/>
      <c r="J46" s="691"/>
      <c r="K46" s="535">
        <f>+Variables!E27</f>
        <v>5024.59</v>
      </c>
      <c r="L46" s="631" t="s">
        <v>628</v>
      </c>
      <c r="M46" s="609"/>
    </row>
    <row r="47" spans="4:13">
      <c r="D47" s="490" t="s">
        <v>592</v>
      </c>
      <c r="E47" s="526" t="s">
        <v>388</v>
      </c>
      <c r="F47" s="690" t="s">
        <v>389</v>
      </c>
      <c r="G47" s="690"/>
      <c r="H47" s="690"/>
      <c r="I47" s="690"/>
      <c r="J47" s="690"/>
      <c r="K47" s="535">
        <f>+'COMBUSTIBLES '!E7</f>
        <v>4583.5</v>
      </c>
      <c r="L47" s="631" t="s">
        <v>628</v>
      </c>
      <c r="M47" s="609"/>
    </row>
    <row r="48" spans="4:13">
      <c r="D48" s="490" t="s">
        <v>593</v>
      </c>
      <c r="E48" s="527" t="s">
        <v>424</v>
      </c>
      <c r="F48" s="691" t="s">
        <v>422</v>
      </c>
      <c r="G48" s="691"/>
      <c r="H48" s="691"/>
      <c r="I48" s="691"/>
      <c r="J48" s="691"/>
      <c r="K48" s="522">
        <f>+Variables!E27</f>
        <v>5024.59</v>
      </c>
      <c r="L48" s="631" t="s">
        <v>628</v>
      </c>
      <c r="M48" s="609"/>
    </row>
    <row r="49" spans="4:13">
      <c r="D49" s="490" t="s">
        <v>594</v>
      </c>
      <c r="E49" s="526" t="s">
        <v>420</v>
      </c>
      <c r="F49" s="690" t="s">
        <v>389</v>
      </c>
      <c r="G49" s="690"/>
      <c r="H49" s="690"/>
      <c r="I49" s="690"/>
      <c r="J49" s="690"/>
      <c r="K49" s="522">
        <f>+'COMBUSTIBLES '!E8</f>
        <v>8.1370000000000005</v>
      </c>
      <c r="L49" s="631" t="s">
        <v>628</v>
      </c>
      <c r="M49" s="609"/>
    </row>
    <row r="50" spans="4:13">
      <c r="D50" s="490" t="s">
        <v>595</v>
      </c>
      <c r="E50" s="526"/>
      <c r="F50" s="690" t="s">
        <v>414</v>
      </c>
      <c r="G50" s="690"/>
      <c r="H50" s="690"/>
      <c r="I50" s="690"/>
      <c r="J50" s="690"/>
      <c r="K50" s="496">
        <v>0</v>
      </c>
      <c r="L50" s="631" t="s">
        <v>628</v>
      </c>
      <c r="M50" s="609"/>
    </row>
    <row r="51" spans="4:13">
      <c r="D51" s="545" t="s">
        <v>633</v>
      </c>
      <c r="E51" s="543"/>
      <c r="F51" s="700" t="s">
        <v>422</v>
      </c>
      <c r="G51" s="700"/>
      <c r="H51" s="700"/>
      <c r="I51" s="700"/>
      <c r="J51" s="700"/>
      <c r="K51" s="544">
        <f>+'COMBUSTIBLES '!E7</f>
        <v>4583.5</v>
      </c>
      <c r="L51" s="631" t="s">
        <v>628</v>
      </c>
      <c r="M51" s="609"/>
    </row>
    <row r="52" spans="4:13">
      <c r="D52" s="490" t="s">
        <v>634</v>
      </c>
      <c r="E52" s="526"/>
      <c r="F52" s="693"/>
      <c r="G52" s="694"/>
      <c r="H52" s="694"/>
      <c r="I52" s="695"/>
      <c r="J52" s="541"/>
      <c r="K52" s="522">
        <f>+Variables!E27</f>
        <v>5024.59</v>
      </c>
      <c r="L52" s="631" t="s">
        <v>628</v>
      </c>
      <c r="M52" s="609"/>
    </row>
    <row r="53" spans="4:13">
      <c r="D53" s="490" t="s">
        <v>635</v>
      </c>
      <c r="E53" s="526"/>
      <c r="F53" s="691" t="s">
        <v>422</v>
      </c>
      <c r="G53" s="691"/>
      <c r="H53" s="691"/>
      <c r="I53" s="691"/>
      <c r="J53" s="691"/>
      <c r="K53" s="522">
        <f>+'COMBUSTIBLES '!E8</f>
        <v>8.1370000000000005</v>
      </c>
      <c r="L53" s="631" t="s">
        <v>628</v>
      </c>
      <c r="M53" s="609"/>
    </row>
    <row r="54" spans="4:13">
      <c r="D54" s="490" t="s">
        <v>636</v>
      </c>
      <c r="E54" s="526"/>
      <c r="F54" s="691" t="s">
        <v>422</v>
      </c>
      <c r="G54" s="691"/>
      <c r="H54" s="691"/>
      <c r="I54" s="691"/>
      <c r="J54" s="691"/>
      <c r="K54" s="522">
        <f>+'COMBUSTIBLES '!B7</f>
        <v>4028</v>
      </c>
      <c r="L54" s="631" t="s">
        <v>628</v>
      </c>
      <c r="M54" s="609"/>
    </row>
    <row r="55" spans="4:13">
      <c r="D55" s="490" t="s">
        <v>637</v>
      </c>
      <c r="E55" s="526"/>
      <c r="F55" s="693"/>
      <c r="G55" s="694"/>
      <c r="H55" s="694"/>
      <c r="I55" s="695"/>
      <c r="J55" s="541"/>
      <c r="K55" s="522">
        <f>+Variables!E22</f>
        <v>5078.7700000000004</v>
      </c>
      <c r="L55" s="631" t="s">
        <v>628</v>
      </c>
      <c r="M55" s="609"/>
    </row>
    <row r="56" spans="4:13">
      <c r="D56" s="490" t="s">
        <v>638</v>
      </c>
      <c r="E56" s="526"/>
      <c r="F56" s="693"/>
      <c r="G56" s="694"/>
      <c r="H56" s="694"/>
      <c r="I56" s="695"/>
      <c r="J56" s="541"/>
      <c r="K56" s="522">
        <f>+'COMBUSTIBLES '!B8</f>
        <v>8.1370000000000005</v>
      </c>
      <c r="L56" s="631" t="s">
        <v>628</v>
      </c>
      <c r="M56" s="609"/>
    </row>
    <row r="57" spans="4:13">
      <c r="D57" s="490" t="s">
        <v>639</v>
      </c>
      <c r="E57" s="526"/>
      <c r="F57" s="693"/>
      <c r="G57" s="694"/>
      <c r="H57" s="694"/>
      <c r="I57" s="695"/>
      <c r="J57" s="541"/>
      <c r="K57" s="522">
        <f>+'COMBUSTIBLES '!E10</f>
        <v>71.510000000000005</v>
      </c>
      <c r="L57" s="631" t="s">
        <v>628</v>
      </c>
      <c r="M57" s="609"/>
    </row>
    <row r="58" spans="4:13">
      <c r="D58" s="490" t="s">
        <v>640</v>
      </c>
      <c r="E58" s="526"/>
      <c r="F58" s="693"/>
      <c r="G58" s="694"/>
      <c r="H58" s="694"/>
      <c r="I58" s="695"/>
      <c r="J58" s="541"/>
      <c r="K58" s="522">
        <f>+'COMBUSTIBLES '!E10</f>
        <v>71.510000000000005</v>
      </c>
      <c r="L58" s="631" t="s">
        <v>628</v>
      </c>
      <c r="M58" s="609"/>
    </row>
    <row r="59" spans="4:13">
      <c r="D59" s="490" t="s">
        <v>645</v>
      </c>
      <c r="E59" s="526"/>
      <c r="F59" s="693"/>
      <c r="G59" s="694"/>
      <c r="H59" s="694"/>
      <c r="I59" s="695"/>
      <c r="J59" s="551"/>
      <c r="K59" s="522">
        <f>+BIODIESEL!E10</f>
        <v>4717.6000000000004</v>
      </c>
      <c r="L59" s="631" t="s">
        <v>628</v>
      </c>
      <c r="M59" s="609"/>
    </row>
    <row r="60" spans="4:13">
      <c r="D60" s="490" t="s">
        <v>646</v>
      </c>
      <c r="E60" s="526"/>
      <c r="F60" s="693"/>
      <c r="G60" s="694"/>
      <c r="H60" s="694"/>
      <c r="I60" s="695"/>
      <c r="J60" s="551"/>
      <c r="K60" s="522">
        <f>+Variables!E27</f>
        <v>5024.59</v>
      </c>
      <c r="L60" s="631" t="s">
        <v>628</v>
      </c>
      <c r="M60" s="609"/>
    </row>
    <row r="61" spans="4:13">
      <c r="D61" s="490" t="s">
        <v>647</v>
      </c>
      <c r="E61" s="526"/>
      <c r="F61" s="693"/>
      <c r="G61" s="694"/>
      <c r="H61" s="694"/>
      <c r="I61" s="695"/>
      <c r="J61" s="551"/>
      <c r="K61" s="522">
        <f>+K58</f>
        <v>71.510000000000005</v>
      </c>
      <c r="L61" s="631" t="s">
        <v>628</v>
      </c>
      <c r="M61" s="609"/>
    </row>
    <row r="62" spans="4:13">
      <c r="D62" s="490" t="s">
        <v>648</v>
      </c>
      <c r="E62" s="526"/>
      <c r="F62" s="693"/>
      <c r="G62" s="694"/>
      <c r="H62" s="694"/>
      <c r="I62" s="695"/>
      <c r="J62" s="551"/>
      <c r="K62" s="522">
        <f>+BIODIESEL!E9</f>
        <v>225.77</v>
      </c>
      <c r="L62" s="631" t="s">
        <v>628</v>
      </c>
      <c r="M62" s="609"/>
    </row>
    <row r="63" spans="4:13">
      <c r="D63" s="490" t="s">
        <v>649</v>
      </c>
      <c r="E63" s="526"/>
      <c r="F63" s="693"/>
      <c r="G63" s="694"/>
      <c r="H63" s="694"/>
      <c r="I63" s="695"/>
      <c r="J63" s="551"/>
      <c r="K63" s="522">
        <f>+BIODIESEL!E8</f>
        <v>4491.83</v>
      </c>
      <c r="L63" s="631" t="s">
        <v>628</v>
      </c>
      <c r="M63" s="609"/>
    </row>
    <row r="64" spans="4:13">
      <c r="D64" s="490" t="s">
        <v>651</v>
      </c>
      <c r="E64" s="526"/>
      <c r="F64" s="693"/>
      <c r="G64" s="694"/>
      <c r="H64" s="694"/>
      <c r="I64" s="695"/>
      <c r="J64" s="614"/>
      <c r="K64" s="522">
        <f>+BIODIESEL!E10</f>
        <v>4717.6000000000004</v>
      </c>
      <c r="L64" s="631" t="s">
        <v>628</v>
      </c>
      <c r="M64" s="609"/>
    </row>
    <row r="65" spans="4:13">
      <c r="D65" s="490" t="s">
        <v>652</v>
      </c>
      <c r="E65" s="526"/>
      <c r="F65" s="693"/>
      <c r="G65" s="694"/>
      <c r="H65" s="694"/>
      <c r="I65" s="695"/>
      <c r="J65" s="614"/>
      <c r="K65" s="522">
        <f>+Variables!E27</f>
        <v>5024.59</v>
      </c>
      <c r="L65" s="631" t="s">
        <v>628</v>
      </c>
      <c r="M65" s="609"/>
    </row>
    <row r="66" spans="4:13">
      <c r="D66" s="490" t="s">
        <v>653</v>
      </c>
      <c r="E66" s="526"/>
      <c r="F66" s="693"/>
      <c r="G66" s="694"/>
      <c r="H66" s="694"/>
      <c r="I66" s="695"/>
      <c r="J66" s="614"/>
      <c r="K66" s="522">
        <f>+K61</f>
        <v>71.510000000000005</v>
      </c>
      <c r="L66" s="631" t="s">
        <v>628</v>
      </c>
      <c r="M66" s="609"/>
    </row>
    <row r="67" spans="4:13">
      <c r="D67" s="490" t="s">
        <v>661</v>
      </c>
      <c r="E67" s="526"/>
      <c r="F67" s="693"/>
      <c r="G67" s="694"/>
      <c r="H67" s="694"/>
      <c r="I67" s="695"/>
      <c r="J67" s="614"/>
      <c r="K67" s="522">
        <f>+BIODIESEL!E9</f>
        <v>225.77</v>
      </c>
      <c r="L67" s="631" t="s">
        <v>628</v>
      </c>
      <c r="M67" s="609"/>
    </row>
    <row r="68" spans="4:13">
      <c r="D68" s="490" t="s">
        <v>654</v>
      </c>
      <c r="E68" s="526"/>
      <c r="F68" s="693"/>
      <c r="G68" s="694"/>
      <c r="H68" s="694"/>
      <c r="I68" s="695"/>
      <c r="J68" s="614"/>
      <c r="K68" s="522">
        <f>+BIODIESEL!E8</f>
        <v>4491.83</v>
      </c>
      <c r="L68" s="631" t="s">
        <v>628</v>
      </c>
      <c r="M68" s="609"/>
    </row>
    <row r="69" spans="4:13" s="497" customFormat="1">
      <c r="D69" s="563" t="s">
        <v>666</v>
      </c>
      <c r="E69" s="610"/>
      <c r="F69" s="611"/>
      <c r="G69" s="611"/>
      <c r="H69" s="611"/>
      <c r="I69" s="611" t="s">
        <v>159</v>
      </c>
      <c r="J69" s="612"/>
      <c r="K69" s="613">
        <f>+BIODIESEL!E10</f>
        <v>4717.6000000000004</v>
      </c>
      <c r="L69" s="616" t="s">
        <v>628</v>
      </c>
    </row>
    <row r="70" spans="4:13">
      <c r="D70" s="563" t="s">
        <v>668</v>
      </c>
      <c r="E70" s="610"/>
      <c r="F70" s="611"/>
      <c r="G70" s="611"/>
      <c r="H70" s="611"/>
      <c r="I70" s="611"/>
      <c r="J70" s="612"/>
      <c r="K70" s="613">
        <f>+K60</f>
        <v>5024.59</v>
      </c>
      <c r="L70" s="631" t="s">
        <v>628</v>
      </c>
    </row>
    <row r="71" spans="4:13">
      <c r="D71" s="563" t="s">
        <v>669</v>
      </c>
      <c r="E71" s="543"/>
      <c r="F71" s="561"/>
      <c r="G71" s="561"/>
      <c r="H71" s="561"/>
      <c r="I71" s="561"/>
      <c r="J71" s="562"/>
      <c r="K71" s="544">
        <f>+BIODIESEL!E14</f>
        <v>8.1370000000000005</v>
      </c>
      <c r="L71" s="631" t="s">
        <v>628</v>
      </c>
    </row>
    <row r="72" spans="4:13" s="497" customFormat="1">
      <c r="D72" s="563" t="s">
        <v>670</v>
      </c>
      <c r="E72" s="610"/>
      <c r="F72" s="611"/>
      <c r="G72" s="611"/>
      <c r="H72" s="611"/>
      <c r="I72" s="611"/>
      <c r="J72" s="612"/>
      <c r="K72" s="613">
        <v>0</v>
      </c>
      <c r="L72" s="616" t="s">
        <v>628</v>
      </c>
    </row>
    <row r="73" spans="4:13">
      <c r="D73" s="563" t="s">
        <v>671</v>
      </c>
      <c r="E73" s="543"/>
      <c r="F73" s="561"/>
      <c r="G73" s="561"/>
      <c r="H73" s="561"/>
      <c r="I73" s="561"/>
      <c r="J73" s="562"/>
      <c r="K73" s="544">
        <f>+'COMBUSTIBLES '!B7</f>
        <v>4028</v>
      </c>
      <c r="L73" s="631" t="s">
        <v>628</v>
      </c>
    </row>
    <row r="74" spans="4:13">
      <c r="D74" s="563" t="s">
        <v>672</v>
      </c>
      <c r="E74" s="543"/>
      <c r="F74" s="561"/>
      <c r="G74" s="561"/>
      <c r="H74" s="561"/>
      <c r="I74" s="561"/>
      <c r="J74" s="562"/>
      <c r="K74" s="544">
        <f>+'SAN-ANDRES + GENERACION'!C8</f>
        <v>4028</v>
      </c>
      <c r="L74" s="631" t="s">
        <v>628</v>
      </c>
    </row>
    <row r="75" spans="4:13">
      <c r="D75" s="563" t="s">
        <v>673</v>
      </c>
      <c r="E75" s="543"/>
      <c r="F75" s="561"/>
      <c r="G75" s="561"/>
      <c r="H75" s="561"/>
      <c r="I75" s="561"/>
      <c r="J75" s="562"/>
      <c r="K75" s="544">
        <f>+'COMBUSTIBLES '!B10</f>
        <v>71.510000000000005</v>
      </c>
      <c r="L75" s="631" t="s">
        <v>628</v>
      </c>
    </row>
    <row r="76" spans="4:13">
      <c r="D76" s="563" t="s">
        <v>674</v>
      </c>
      <c r="E76" s="543"/>
      <c r="F76" s="561"/>
      <c r="G76" s="561"/>
      <c r="H76" s="561"/>
      <c r="I76" s="561"/>
      <c r="J76" s="562"/>
      <c r="K76" s="544">
        <f>+BIODIESEL!E9</f>
        <v>225.77</v>
      </c>
      <c r="L76" s="631" t="s">
        <v>628</v>
      </c>
    </row>
    <row r="77" spans="4:13">
      <c r="D77" s="563" t="s">
        <v>675</v>
      </c>
      <c r="E77" s="543"/>
      <c r="F77" s="561"/>
      <c r="G77" s="561"/>
      <c r="H77" s="561"/>
      <c r="I77" s="561"/>
      <c r="J77" s="562"/>
      <c r="K77" s="544">
        <f>+'SAN-ANDRES + GENERACION'!F8</f>
        <v>4717.6000000000004</v>
      </c>
      <c r="L77" s="631" t="s">
        <v>628</v>
      </c>
    </row>
    <row r="78" spans="4:13">
      <c r="D78" s="563" t="s">
        <v>676</v>
      </c>
      <c r="E78" s="543"/>
      <c r="F78" s="561"/>
      <c r="G78" s="561"/>
      <c r="H78" s="561"/>
      <c r="I78" s="561"/>
      <c r="J78" s="562"/>
      <c r="K78" s="544">
        <f>+'SAN-ANDRES + GENERACION'!H11</f>
        <v>4491.83</v>
      </c>
      <c r="L78" s="631" t="s">
        <v>628</v>
      </c>
    </row>
    <row r="79" spans="4:13">
      <c r="D79" s="563" t="s">
        <v>677</v>
      </c>
      <c r="E79" s="543"/>
      <c r="F79" s="561"/>
      <c r="G79" s="561"/>
      <c r="H79" s="561"/>
      <c r="I79" s="561"/>
      <c r="J79" s="562"/>
      <c r="K79" s="544">
        <f>+BIODIESEL!E8</f>
        <v>4491.83</v>
      </c>
      <c r="L79" s="631" t="s">
        <v>628</v>
      </c>
    </row>
    <row r="80" spans="4:13">
      <c r="D80" s="563" t="s">
        <v>678</v>
      </c>
      <c r="E80" s="543"/>
      <c r="F80" s="561"/>
      <c r="G80" s="561"/>
      <c r="H80" s="561"/>
      <c r="I80" s="561"/>
      <c r="J80" s="562"/>
      <c r="K80" s="544">
        <f>+BIODIESEL!E9</f>
        <v>225.77</v>
      </c>
      <c r="L80" s="631" t="s">
        <v>628</v>
      </c>
    </row>
    <row r="81" spans="2:12">
      <c r="D81" s="563" t="s">
        <v>683</v>
      </c>
      <c r="E81" s="543"/>
      <c r="F81" s="561"/>
      <c r="G81" s="561"/>
      <c r="H81" s="561"/>
      <c r="I81" s="561"/>
      <c r="J81" s="562"/>
      <c r="K81" s="544" t="e">
        <f>+#REF!</f>
        <v>#REF!</v>
      </c>
      <c r="L81" s="631" t="s">
        <v>628</v>
      </c>
    </row>
    <row r="82" spans="2:12">
      <c r="D82" s="632" t="s">
        <v>687</v>
      </c>
      <c r="E82" s="543"/>
      <c r="F82" s="561"/>
      <c r="G82" s="561"/>
      <c r="H82" s="561"/>
      <c r="I82" s="561"/>
      <c r="J82" s="562"/>
      <c r="K82" s="544">
        <f>+BIODIESEL!E10</f>
        <v>4717.6000000000004</v>
      </c>
      <c r="L82" s="633" t="s">
        <v>628</v>
      </c>
    </row>
    <row r="83" spans="2:12">
      <c r="D83" s="563" t="s">
        <v>688</v>
      </c>
      <c r="E83" s="543"/>
      <c r="F83" s="561"/>
      <c r="G83" s="561"/>
      <c r="H83" s="561"/>
      <c r="I83" s="561"/>
      <c r="J83" s="562"/>
      <c r="K83" s="544">
        <f>+K70</f>
        <v>5024.59</v>
      </c>
      <c r="L83" s="633" t="s">
        <v>628</v>
      </c>
    </row>
    <row r="84" spans="2:12">
      <c r="D84" s="563" t="s">
        <v>689</v>
      </c>
      <c r="E84" s="543"/>
      <c r="F84" s="561"/>
      <c r="G84" s="561"/>
      <c r="H84" s="561"/>
      <c r="I84" s="561"/>
      <c r="J84" s="562"/>
      <c r="K84" s="544">
        <f>+BIODIESEL!E17</f>
        <v>71.510000000000005</v>
      </c>
      <c r="L84" s="633" t="s">
        <v>628</v>
      </c>
    </row>
    <row r="85" spans="2:12">
      <c r="D85" s="563" t="s">
        <v>690</v>
      </c>
      <c r="E85" s="543"/>
      <c r="F85" s="561"/>
      <c r="G85" s="561"/>
      <c r="H85" s="561"/>
      <c r="I85" s="561"/>
      <c r="J85" s="562"/>
      <c r="K85" s="544">
        <f>+BIODIESEL!E9</f>
        <v>225.77</v>
      </c>
      <c r="L85" s="633" t="s">
        <v>628</v>
      </c>
    </row>
    <row r="86" spans="2:12">
      <c r="D86" s="563" t="s">
        <v>691</v>
      </c>
      <c r="E86" s="543"/>
      <c r="F86" s="561"/>
      <c r="G86" s="561"/>
      <c r="H86" s="561"/>
      <c r="I86" s="561"/>
      <c r="J86" s="562"/>
      <c r="K86" s="544">
        <f>+BIODIESEL!E8</f>
        <v>4491.83</v>
      </c>
      <c r="L86" s="633" t="s">
        <v>628</v>
      </c>
    </row>
    <row r="87" spans="2:12" ht="36">
      <c r="B87" s="479">
        <v>2</v>
      </c>
      <c r="D87" s="480" t="s">
        <v>455</v>
      </c>
    </row>
    <row r="89" spans="2:12" ht="21">
      <c r="D89" s="482" t="s">
        <v>382</v>
      </c>
      <c r="E89" s="483" t="s">
        <v>383</v>
      </c>
      <c r="F89" s="484" t="s">
        <v>384</v>
      </c>
    </row>
    <row r="90" spans="2:12" ht="21">
      <c r="D90" s="482"/>
      <c r="E90" s="483"/>
      <c r="F90" s="484" t="s">
        <v>695</v>
      </c>
    </row>
    <row r="91" spans="2:12">
      <c r="D91" s="487" t="s">
        <v>456</v>
      </c>
      <c r="E91" s="517" t="s">
        <v>457</v>
      </c>
      <c r="F91" s="690" t="s">
        <v>389</v>
      </c>
      <c r="G91" s="690"/>
      <c r="H91" s="690"/>
      <c r="I91" s="690"/>
      <c r="J91" s="690"/>
      <c r="K91" s="513">
        <f>+'COMBUSTIBLES '!D7</f>
        <v>5700</v>
      </c>
    </row>
    <row r="92" spans="2:12">
      <c r="D92" s="487" t="s">
        <v>458</v>
      </c>
      <c r="E92" s="517" t="s">
        <v>459</v>
      </c>
      <c r="F92" s="690" t="s">
        <v>389</v>
      </c>
      <c r="G92" s="690"/>
      <c r="H92" s="690"/>
      <c r="I92" s="690"/>
      <c r="J92" s="690"/>
      <c r="K92" s="513">
        <f>+'COMBUSTIBLES '!G7</f>
        <v>6839.92</v>
      </c>
    </row>
    <row r="93" spans="2:12">
      <c r="D93" s="486" t="s">
        <v>460</v>
      </c>
      <c r="E93" s="492"/>
      <c r="F93" s="699" t="s">
        <v>461</v>
      </c>
      <c r="G93" s="699"/>
      <c r="H93" s="699"/>
      <c r="I93" s="699"/>
      <c r="J93" s="699"/>
    </row>
    <row r="94" spans="2:12">
      <c r="D94" s="480" t="s">
        <v>606</v>
      </c>
      <c r="E94" s="481" t="s">
        <v>607</v>
      </c>
      <c r="K94" s="537" t="s">
        <v>632</v>
      </c>
    </row>
    <row r="95" spans="2:12" ht="21">
      <c r="D95" s="484" t="s">
        <v>462</v>
      </c>
      <c r="E95" s="481" t="s">
        <v>608</v>
      </c>
    </row>
    <row r="96" spans="2:12">
      <c r="D96" s="489" t="s">
        <v>463</v>
      </c>
    </row>
    <row r="97" spans="4:10">
      <c r="D97" s="489" t="s">
        <v>464</v>
      </c>
    </row>
    <row r="98" spans="4:10">
      <c r="D98" s="489"/>
    </row>
    <row r="99" spans="4:10">
      <c r="D99" s="489" t="s">
        <v>465</v>
      </c>
    </row>
    <row r="100" spans="4:10">
      <c r="D100" s="489"/>
    </row>
    <row r="101" spans="4:10">
      <c r="D101" s="489"/>
    </row>
    <row r="102" spans="4:10" ht="21">
      <c r="D102" s="482" t="s">
        <v>466</v>
      </c>
    </row>
    <row r="103" spans="4:10">
      <c r="D103" s="489" t="s">
        <v>467</v>
      </c>
    </row>
    <row r="104" spans="4:10">
      <c r="D104" s="489" t="s">
        <v>402</v>
      </c>
    </row>
    <row r="105" spans="4:10">
      <c r="D105" s="480" t="s">
        <v>403</v>
      </c>
    </row>
    <row r="106" spans="4:10">
      <c r="D106" s="480" t="s">
        <v>404</v>
      </c>
    </row>
    <row r="107" spans="4:10">
      <c r="D107" s="501" t="s">
        <v>616</v>
      </c>
    </row>
    <row r="108" spans="4:10">
      <c r="D108" s="480" t="s">
        <v>406</v>
      </c>
    </row>
    <row r="111" spans="4:10" ht="21">
      <c r="D111" s="681" t="s">
        <v>409</v>
      </c>
      <c r="E111" s="682" t="s">
        <v>383</v>
      </c>
      <c r="F111" s="683" t="s">
        <v>384</v>
      </c>
      <c r="G111" s="684"/>
      <c r="H111" s="684"/>
      <c r="I111" s="684"/>
      <c r="J111" s="685"/>
    </row>
    <row r="112" spans="4:10" ht="21">
      <c r="D112" s="681"/>
      <c r="E112" s="682"/>
      <c r="F112" s="686" t="s">
        <v>411</v>
      </c>
      <c r="G112" s="687"/>
      <c r="H112" s="687"/>
      <c r="I112" s="687"/>
      <c r="J112" s="688"/>
    </row>
    <row r="113" spans="2:12" ht="15" customHeight="1">
      <c r="D113" s="493" t="s">
        <v>468</v>
      </c>
      <c r="E113" s="494"/>
      <c r="F113" s="696" t="s">
        <v>469</v>
      </c>
      <c r="G113" s="697"/>
      <c r="H113" s="697"/>
      <c r="I113" s="697"/>
      <c r="J113" s="698"/>
      <c r="K113" s="539">
        <v>6543.55</v>
      </c>
    </row>
    <row r="114" spans="2:12">
      <c r="D114" s="495" t="s">
        <v>470</v>
      </c>
      <c r="E114" s="520">
        <f>+$K$30</f>
        <v>8.1370000000000005</v>
      </c>
      <c r="F114" s="696"/>
      <c r="G114" s="697"/>
      <c r="H114" s="697"/>
      <c r="I114" s="697"/>
      <c r="J114" s="698"/>
      <c r="K114" s="530">
        <v>7.9</v>
      </c>
      <c r="L114" s="530"/>
    </row>
    <row r="115" spans="2:12">
      <c r="D115" s="495" t="s">
        <v>471</v>
      </c>
      <c r="E115" s="520">
        <f>+$K$30</f>
        <v>8.1370000000000005</v>
      </c>
      <c r="F115" s="696"/>
      <c r="G115" s="697"/>
      <c r="H115" s="697"/>
      <c r="I115" s="697"/>
      <c r="J115" s="698"/>
      <c r="K115" s="480">
        <v>7.9</v>
      </c>
      <c r="L115" s="530"/>
    </row>
    <row r="116" spans="2:12">
      <c r="D116" s="495" t="s">
        <v>472</v>
      </c>
      <c r="E116" s="519">
        <v>0</v>
      </c>
      <c r="F116" s="696"/>
      <c r="G116" s="697"/>
      <c r="H116" s="697"/>
      <c r="I116" s="697"/>
      <c r="J116" s="698"/>
      <c r="K116" s="480">
        <v>0</v>
      </c>
      <c r="L116" s="530"/>
    </row>
    <row r="117" spans="2:12">
      <c r="D117" s="493" t="s">
        <v>473</v>
      </c>
      <c r="E117" s="519" t="s">
        <v>474</v>
      </c>
      <c r="F117" s="696" t="s">
        <v>475</v>
      </c>
      <c r="G117" s="697"/>
      <c r="H117" s="697"/>
      <c r="I117" s="697"/>
      <c r="J117" s="698"/>
      <c r="K117" s="499" t="e">
        <f>+#REF!</f>
        <v>#REF!</v>
      </c>
      <c r="L117" s="530"/>
    </row>
    <row r="118" spans="2:12">
      <c r="D118" s="500" t="s">
        <v>596</v>
      </c>
      <c r="E118" s="519"/>
      <c r="F118" s="691" t="s">
        <v>422</v>
      </c>
      <c r="G118" s="691"/>
      <c r="H118" s="691"/>
      <c r="I118" s="691"/>
      <c r="J118" s="691"/>
      <c r="K118" s="536">
        <f>+Variables!E23</f>
        <v>7107.81</v>
      </c>
      <c r="L118" s="530"/>
    </row>
    <row r="119" spans="2:12">
      <c r="D119" s="495"/>
      <c r="E119" s="521"/>
      <c r="F119" s="696"/>
      <c r="G119" s="697"/>
      <c r="H119" s="697"/>
      <c r="I119" s="697"/>
      <c r="J119" s="698"/>
    </row>
    <row r="120" spans="2:12">
      <c r="D120" s="495" t="s">
        <v>476</v>
      </c>
      <c r="E120" s="519" t="s">
        <v>459</v>
      </c>
      <c r="F120" s="696" t="s">
        <v>477</v>
      </c>
      <c r="G120" s="697"/>
      <c r="H120" s="697"/>
      <c r="I120" s="697"/>
      <c r="J120" s="698"/>
      <c r="K120" s="499">
        <f>+'COMBUSTIBLES '!G7</f>
        <v>6839.92</v>
      </c>
      <c r="L120" s="530"/>
    </row>
    <row r="121" spans="2:12">
      <c r="D121" s="495" t="s">
        <v>478</v>
      </c>
      <c r="E121" s="519">
        <v>0</v>
      </c>
      <c r="F121" s="696"/>
      <c r="G121" s="697"/>
      <c r="H121" s="697"/>
      <c r="I121" s="697"/>
      <c r="J121" s="698"/>
      <c r="K121" s="480">
        <v>0</v>
      </c>
    </row>
    <row r="122" spans="2:12">
      <c r="D122" s="493" t="s">
        <v>479</v>
      </c>
      <c r="E122" s="519"/>
      <c r="F122" s="691" t="s">
        <v>422</v>
      </c>
      <c r="G122" s="691"/>
      <c r="H122" s="691"/>
      <c r="I122" s="691"/>
      <c r="J122" s="691"/>
      <c r="K122" s="538">
        <f>+K118</f>
        <v>7107.81</v>
      </c>
      <c r="L122" s="530"/>
    </row>
    <row r="123" spans="2:12">
      <c r="D123" s="495" t="s">
        <v>480</v>
      </c>
      <c r="E123" s="520">
        <f>+$K$30</f>
        <v>8.1370000000000005</v>
      </c>
      <c r="F123" s="696"/>
      <c r="G123" s="697"/>
      <c r="H123" s="697"/>
      <c r="I123" s="697"/>
      <c r="J123" s="698"/>
      <c r="K123" s="480">
        <v>7.9</v>
      </c>
      <c r="L123" s="530"/>
    </row>
    <row r="124" spans="2:12">
      <c r="D124" s="496" t="s">
        <v>481</v>
      </c>
      <c r="E124" s="519" t="s">
        <v>474</v>
      </c>
      <c r="F124" s="696" t="s">
        <v>475</v>
      </c>
      <c r="G124" s="697"/>
      <c r="H124" s="697"/>
      <c r="I124" s="697"/>
      <c r="J124" s="698"/>
      <c r="K124" s="499" t="e">
        <f>+#REF!</f>
        <v>#REF!</v>
      </c>
      <c r="L124" s="530"/>
    </row>
    <row r="128" spans="2:12" ht="36" outlineLevel="2">
      <c r="B128" s="479">
        <v>3</v>
      </c>
      <c r="D128" s="480" t="s">
        <v>482</v>
      </c>
    </row>
    <row r="129" spans="4:10" outlineLevel="2"/>
    <row r="130" spans="4:10" ht="21" outlineLevel="2">
      <c r="D130" s="482" t="s">
        <v>382</v>
      </c>
      <c r="E130" s="483" t="s">
        <v>383</v>
      </c>
      <c r="F130" s="484" t="s">
        <v>384</v>
      </c>
    </row>
    <row r="131" spans="4:10" ht="21" outlineLevel="2">
      <c r="D131" s="482"/>
      <c r="E131" s="483"/>
      <c r="F131" s="484" t="s">
        <v>590</v>
      </c>
    </row>
    <row r="132" spans="4:10" outlineLevel="2">
      <c r="D132" s="487" t="s">
        <v>483</v>
      </c>
      <c r="E132" s="485" t="s">
        <v>484</v>
      </c>
      <c r="F132" s="690" t="s">
        <v>485</v>
      </c>
      <c r="G132" s="690"/>
      <c r="H132" s="690"/>
      <c r="I132" s="690"/>
      <c r="J132" s="690"/>
    </row>
    <row r="133" spans="4:10" outlineLevel="2">
      <c r="D133" s="487" t="s">
        <v>486</v>
      </c>
      <c r="E133" s="485" t="s">
        <v>487</v>
      </c>
      <c r="F133" s="690" t="s">
        <v>485</v>
      </c>
      <c r="G133" s="690"/>
      <c r="H133" s="690"/>
      <c r="I133" s="690"/>
      <c r="J133" s="690"/>
    </row>
    <row r="134" spans="4:10" outlineLevel="2"/>
    <row r="135" spans="4:10" outlineLevel="2"/>
    <row r="136" spans="4:10" ht="21" outlineLevel="2">
      <c r="D136" s="482" t="s">
        <v>488</v>
      </c>
    </row>
    <row r="137" spans="4:10" outlineLevel="2">
      <c r="D137" s="489" t="s">
        <v>489</v>
      </c>
    </row>
    <row r="138" spans="4:10" outlineLevel="2">
      <c r="D138" s="489" t="s">
        <v>402</v>
      </c>
    </row>
    <row r="139" spans="4:10" outlineLevel="2">
      <c r="D139" s="480" t="s">
        <v>403</v>
      </c>
    </row>
    <row r="140" spans="4:10" outlineLevel="2">
      <c r="D140" s="480" t="s">
        <v>404</v>
      </c>
    </row>
    <row r="141" spans="4:10" outlineLevel="2">
      <c r="D141" s="480" t="s">
        <v>490</v>
      </c>
    </row>
    <row r="142" spans="4:10" outlineLevel="2">
      <c r="D142" s="480" t="s">
        <v>406</v>
      </c>
    </row>
    <row r="143" spans="4:10" outlineLevel="2"/>
    <row r="144" spans="4:10" outlineLevel="2"/>
    <row r="145" spans="4:10" ht="21" outlineLevel="2">
      <c r="D145" s="681" t="s">
        <v>409</v>
      </c>
      <c r="E145" s="682" t="s">
        <v>383</v>
      </c>
      <c r="F145" s="683" t="s">
        <v>384</v>
      </c>
      <c r="G145" s="684"/>
      <c r="H145" s="684"/>
      <c r="I145" s="684"/>
      <c r="J145" s="685"/>
    </row>
    <row r="146" spans="4:10" ht="21" outlineLevel="2">
      <c r="D146" s="681"/>
      <c r="E146" s="682"/>
      <c r="F146" s="686" t="s">
        <v>491</v>
      </c>
      <c r="G146" s="687"/>
      <c r="H146" s="687"/>
      <c r="I146" s="687"/>
      <c r="J146" s="688"/>
    </row>
    <row r="147" spans="4:10" outlineLevel="2">
      <c r="D147" s="493" t="s">
        <v>492</v>
      </c>
      <c r="E147" s="491" t="s">
        <v>420</v>
      </c>
      <c r="F147" s="690" t="s">
        <v>493</v>
      </c>
      <c r="G147" s="690"/>
      <c r="H147" s="690"/>
      <c r="I147" s="690"/>
      <c r="J147" s="690"/>
    </row>
    <row r="148" spans="4:10" outlineLevel="2">
      <c r="D148" s="493" t="s">
        <v>494</v>
      </c>
      <c r="E148" s="491" t="s">
        <v>434</v>
      </c>
      <c r="F148" s="690" t="s">
        <v>495</v>
      </c>
      <c r="G148" s="690"/>
      <c r="H148" s="690"/>
      <c r="I148" s="690"/>
      <c r="J148" s="690"/>
    </row>
    <row r="149" spans="4:10" outlineLevel="2">
      <c r="D149" s="493" t="s">
        <v>496</v>
      </c>
      <c r="E149" s="491" t="s">
        <v>393</v>
      </c>
      <c r="F149" s="690" t="s">
        <v>497</v>
      </c>
      <c r="G149" s="690"/>
      <c r="H149" s="690"/>
      <c r="I149" s="690"/>
      <c r="J149" s="690"/>
    </row>
    <row r="150" spans="4:10" outlineLevel="2">
      <c r="D150" s="493" t="s">
        <v>498</v>
      </c>
      <c r="E150" s="491" t="s">
        <v>388</v>
      </c>
      <c r="F150" s="690" t="s">
        <v>497</v>
      </c>
      <c r="G150" s="690"/>
      <c r="H150" s="690"/>
      <c r="I150" s="690"/>
      <c r="J150" s="690"/>
    </row>
    <row r="151" spans="4:10" outlineLevel="2">
      <c r="D151" s="493" t="s">
        <v>499</v>
      </c>
      <c r="E151" s="491" t="s">
        <v>444</v>
      </c>
      <c r="F151" s="690" t="s">
        <v>500</v>
      </c>
      <c r="G151" s="690"/>
      <c r="H151" s="690"/>
      <c r="I151" s="690"/>
      <c r="J151" s="690"/>
    </row>
    <row r="152" spans="4:10" outlineLevel="2">
      <c r="D152" s="493" t="s">
        <v>501</v>
      </c>
      <c r="E152" s="491" t="s">
        <v>502</v>
      </c>
      <c r="F152" s="690" t="s">
        <v>500</v>
      </c>
      <c r="G152" s="690"/>
      <c r="H152" s="690"/>
      <c r="I152" s="690"/>
      <c r="J152" s="690"/>
    </row>
    <row r="153" spans="4:10" ht="15" customHeight="1" outlineLevel="2">
      <c r="D153" s="493" t="s">
        <v>503</v>
      </c>
      <c r="E153" s="491" t="s">
        <v>504</v>
      </c>
      <c r="F153" s="690" t="s">
        <v>500</v>
      </c>
      <c r="G153" s="690"/>
      <c r="H153" s="690"/>
      <c r="I153" s="690"/>
      <c r="J153" s="690"/>
    </row>
    <row r="154" spans="4:10" ht="15" customHeight="1" outlineLevel="2">
      <c r="D154" s="493" t="s">
        <v>505</v>
      </c>
      <c r="E154" s="491" t="s">
        <v>506</v>
      </c>
      <c r="F154" s="690" t="s">
        <v>500</v>
      </c>
      <c r="G154" s="690"/>
      <c r="H154" s="690"/>
      <c r="I154" s="690"/>
      <c r="J154" s="690"/>
    </row>
    <row r="155" spans="4:10" ht="15" customHeight="1" outlineLevel="2">
      <c r="D155" s="493" t="s">
        <v>507</v>
      </c>
      <c r="E155" s="491" t="s">
        <v>508</v>
      </c>
      <c r="F155" s="690" t="s">
        <v>500</v>
      </c>
      <c r="G155" s="690"/>
      <c r="H155" s="690"/>
      <c r="I155" s="690"/>
      <c r="J155" s="690"/>
    </row>
    <row r="156" spans="4:10" outlineLevel="2">
      <c r="D156" s="493" t="s">
        <v>509</v>
      </c>
      <c r="E156" s="491" t="s">
        <v>510</v>
      </c>
      <c r="F156" s="690" t="s">
        <v>500</v>
      </c>
      <c r="G156" s="690"/>
      <c r="H156" s="690"/>
      <c r="I156" s="690"/>
      <c r="J156" s="690"/>
    </row>
    <row r="157" spans="4:10" outlineLevel="2">
      <c r="D157" s="493" t="s">
        <v>511</v>
      </c>
      <c r="E157" s="491" t="s">
        <v>393</v>
      </c>
      <c r="F157" s="690" t="s">
        <v>497</v>
      </c>
      <c r="G157" s="690"/>
      <c r="H157" s="690"/>
      <c r="I157" s="690"/>
      <c r="J157" s="690"/>
    </row>
    <row r="158" spans="4:10" outlineLevel="2">
      <c r="D158" s="493" t="s">
        <v>512</v>
      </c>
      <c r="E158" s="491" t="s">
        <v>508</v>
      </c>
      <c r="F158" s="690" t="s">
        <v>513</v>
      </c>
      <c r="G158" s="690"/>
      <c r="H158" s="690"/>
      <c r="I158" s="690"/>
      <c r="J158" s="690"/>
    </row>
    <row r="159" spans="4:10" outlineLevel="2">
      <c r="D159" s="493" t="s">
        <v>514</v>
      </c>
      <c r="E159" s="491" t="s">
        <v>515</v>
      </c>
      <c r="F159" s="690" t="s">
        <v>500</v>
      </c>
      <c r="G159" s="690"/>
      <c r="H159" s="690"/>
      <c r="I159" s="690"/>
      <c r="J159" s="690"/>
    </row>
    <row r="160" spans="4:10" outlineLevel="2">
      <c r="D160" s="493" t="s">
        <v>516</v>
      </c>
      <c r="E160" s="491">
        <v>0</v>
      </c>
      <c r="F160" s="690"/>
      <c r="G160" s="690"/>
      <c r="H160" s="690"/>
      <c r="I160" s="690"/>
      <c r="J160" s="690"/>
    </row>
    <row r="161" spans="2:10" outlineLevel="2">
      <c r="D161" s="493" t="s">
        <v>517</v>
      </c>
      <c r="E161" s="491" t="s">
        <v>518</v>
      </c>
      <c r="F161" s="690" t="s">
        <v>500</v>
      </c>
      <c r="G161" s="690"/>
      <c r="H161" s="690"/>
      <c r="I161" s="690"/>
      <c r="J161" s="690"/>
    </row>
    <row r="162" spans="2:10" outlineLevel="2">
      <c r="D162" s="493" t="s">
        <v>519</v>
      </c>
      <c r="E162" s="491" t="s">
        <v>520</v>
      </c>
      <c r="F162" s="690" t="s">
        <v>500</v>
      </c>
      <c r="G162" s="690"/>
      <c r="H162" s="690"/>
      <c r="I162" s="690"/>
      <c r="J162" s="690"/>
    </row>
    <row r="163" spans="2:10" outlineLevel="2">
      <c r="D163" s="493" t="s">
        <v>521</v>
      </c>
      <c r="E163" s="491" t="s">
        <v>522</v>
      </c>
      <c r="F163" s="690" t="s">
        <v>523</v>
      </c>
      <c r="G163" s="690"/>
      <c r="H163" s="690"/>
      <c r="I163" s="690"/>
      <c r="J163" s="690"/>
    </row>
    <row r="164" spans="2:10" outlineLevel="2">
      <c r="D164" s="493" t="s">
        <v>524</v>
      </c>
      <c r="E164" s="491" t="s">
        <v>525</v>
      </c>
      <c r="F164" s="690" t="s">
        <v>523</v>
      </c>
      <c r="G164" s="690"/>
      <c r="H164" s="690"/>
      <c r="I164" s="690"/>
      <c r="J164" s="690"/>
    </row>
    <row r="165" spans="2:10" outlineLevel="2">
      <c r="D165" s="493" t="s">
        <v>526</v>
      </c>
      <c r="E165" s="491" t="s">
        <v>527</v>
      </c>
      <c r="F165" s="690" t="s">
        <v>523</v>
      </c>
      <c r="G165" s="690"/>
      <c r="H165" s="690"/>
      <c r="I165" s="690"/>
      <c r="J165" s="690"/>
    </row>
    <row r="166" spans="2:10" outlineLevel="2">
      <c r="D166" s="493" t="s">
        <v>528</v>
      </c>
      <c r="E166" s="491" t="s">
        <v>529</v>
      </c>
      <c r="F166" s="690" t="s">
        <v>530</v>
      </c>
      <c r="G166" s="690"/>
      <c r="H166" s="690"/>
      <c r="I166" s="690"/>
      <c r="J166" s="690"/>
    </row>
    <row r="167" spans="2:10" outlineLevel="2">
      <c r="D167" s="493" t="s">
        <v>531</v>
      </c>
      <c r="E167" s="491" t="s">
        <v>532</v>
      </c>
      <c r="F167" s="690" t="s">
        <v>530</v>
      </c>
      <c r="G167" s="690"/>
      <c r="H167" s="690"/>
      <c r="I167" s="690"/>
      <c r="J167" s="690"/>
    </row>
    <row r="168" spans="2:10" outlineLevel="2">
      <c r="D168" s="493" t="s">
        <v>533</v>
      </c>
      <c r="E168" s="491" t="s">
        <v>534</v>
      </c>
      <c r="F168" s="690" t="s">
        <v>530</v>
      </c>
      <c r="G168" s="690"/>
      <c r="H168" s="690"/>
      <c r="I168" s="690"/>
      <c r="J168" s="690"/>
    </row>
    <row r="169" spans="2:10" outlineLevel="2">
      <c r="D169" s="493" t="s">
        <v>535</v>
      </c>
      <c r="E169" s="491" t="s">
        <v>536</v>
      </c>
      <c r="F169" s="690" t="s">
        <v>537</v>
      </c>
      <c r="G169" s="690"/>
      <c r="H169" s="690"/>
      <c r="I169" s="690"/>
      <c r="J169" s="690"/>
    </row>
    <row r="170" spans="2:10" outlineLevel="2">
      <c r="D170" s="493" t="s">
        <v>538</v>
      </c>
      <c r="E170" s="491" t="s">
        <v>484</v>
      </c>
      <c r="F170" s="690" t="s">
        <v>537</v>
      </c>
      <c r="G170" s="690"/>
      <c r="H170" s="690"/>
      <c r="I170" s="690"/>
      <c r="J170" s="690"/>
    </row>
    <row r="171" spans="2:10" outlineLevel="2">
      <c r="D171" s="493" t="s">
        <v>539</v>
      </c>
      <c r="E171" s="491" t="s">
        <v>540</v>
      </c>
      <c r="F171" s="690" t="s">
        <v>537</v>
      </c>
      <c r="G171" s="690"/>
      <c r="H171" s="690"/>
      <c r="I171" s="690"/>
      <c r="J171" s="690"/>
    </row>
    <row r="172" spans="2:10" outlineLevel="2">
      <c r="D172" s="493" t="s">
        <v>541</v>
      </c>
      <c r="E172" s="491">
        <v>0</v>
      </c>
      <c r="F172" s="690"/>
      <c r="G172" s="690"/>
      <c r="H172" s="690"/>
      <c r="I172" s="690"/>
      <c r="J172" s="690"/>
    </row>
    <row r="173" spans="2:10">
      <c r="D173" s="497"/>
      <c r="E173" s="506"/>
    </row>
    <row r="174" spans="2:10">
      <c r="D174" s="497"/>
      <c r="E174" s="506"/>
    </row>
    <row r="175" spans="2:10" ht="36">
      <c r="B175" s="479">
        <v>4</v>
      </c>
      <c r="D175" s="484" t="s">
        <v>542</v>
      </c>
    </row>
    <row r="176" spans="2:10">
      <c r="D176" s="497"/>
    </row>
    <row r="177" spans="4:12">
      <c r="D177" s="497"/>
    </row>
    <row r="178" spans="4:12" ht="21">
      <c r="D178" s="482" t="s">
        <v>543</v>
      </c>
    </row>
    <row r="179" spans="4:12">
      <c r="D179" s="489" t="s">
        <v>544</v>
      </c>
    </row>
    <row r="180" spans="4:12">
      <c r="D180" s="489" t="s">
        <v>402</v>
      </c>
    </row>
    <row r="181" spans="4:12">
      <c r="D181" s="480" t="s">
        <v>403</v>
      </c>
    </row>
    <row r="182" spans="4:12">
      <c r="D182" s="480" t="s">
        <v>404</v>
      </c>
    </row>
    <row r="183" spans="4:12">
      <c r="D183" s="480" t="s">
        <v>545</v>
      </c>
    </row>
    <row r="184" spans="4:12">
      <c r="D184" s="480" t="s">
        <v>406</v>
      </c>
    </row>
    <row r="186" spans="4:12">
      <c r="D186" s="497"/>
    </row>
    <row r="187" spans="4:12" ht="21">
      <c r="D187" s="681" t="s">
        <v>409</v>
      </c>
      <c r="E187" s="682" t="s">
        <v>383</v>
      </c>
      <c r="F187" s="683" t="s">
        <v>384</v>
      </c>
      <c r="G187" s="684"/>
      <c r="H187" s="684"/>
      <c r="I187" s="684"/>
      <c r="J187" s="685"/>
    </row>
    <row r="188" spans="4:12" ht="21">
      <c r="D188" s="681"/>
      <c r="E188" s="682"/>
      <c r="F188" s="686" t="s">
        <v>591</v>
      </c>
      <c r="G188" s="687"/>
      <c r="H188" s="687"/>
      <c r="I188" s="687"/>
      <c r="J188" s="688"/>
    </row>
    <row r="189" spans="4:12">
      <c r="D189" s="495" t="s">
        <v>546</v>
      </c>
      <c r="E189" s="526" t="s">
        <v>434</v>
      </c>
      <c r="F189" s="690" t="s">
        <v>495</v>
      </c>
      <c r="G189" s="690"/>
      <c r="H189" s="690"/>
      <c r="I189" s="690"/>
      <c r="J189" s="690"/>
      <c r="K189" s="499">
        <f>+BIODIESEL!E9</f>
        <v>225.77</v>
      </c>
      <c r="L189" s="546" t="s">
        <v>628</v>
      </c>
    </row>
    <row r="190" spans="4:12">
      <c r="D190" s="493" t="s">
        <v>547</v>
      </c>
      <c r="E190" s="526" t="s">
        <v>396</v>
      </c>
      <c r="F190" s="690" t="s">
        <v>495</v>
      </c>
      <c r="G190" s="690"/>
      <c r="H190" s="690"/>
      <c r="I190" s="690"/>
      <c r="J190" s="690"/>
      <c r="K190" s="499">
        <f>+BIODIESEL!E10</f>
        <v>4717.6000000000004</v>
      </c>
      <c r="L190" s="546" t="s">
        <v>628</v>
      </c>
    </row>
    <row r="191" spans="4:12">
      <c r="D191" s="493" t="s">
        <v>548</v>
      </c>
      <c r="E191" s="526" t="s">
        <v>420</v>
      </c>
      <c r="F191" s="690" t="s">
        <v>495</v>
      </c>
      <c r="G191" s="690"/>
      <c r="H191" s="690"/>
      <c r="I191" s="690"/>
      <c r="J191" s="690"/>
      <c r="K191" s="499">
        <f>+BIODIESEL!E8</f>
        <v>4491.83</v>
      </c>
      <c r="L191" s="546" t="s">
        <v>628</v>
      </c>
    </row>
    <row r="192" spans="4:12">
      <c r="D192" s="490" t="s">
        <v>549</v>
      </c>
      <c r="E192" s="526">
        <v>7.67</v>
      </c>
      <c r="F192" s="701"/>
      <c r="G192" s="701"/>
      <c r="H192" s="701"/>
      <c r="I192" s="701"/>
      <c r="J192" s="701"/>
      <c r="K192" s="525"/>
    </row>
    <row r="193" spans="2:12">
      <c r="D193" s="493" t="s">
        <v>550</v>
      </c>
      <c r="E193" s="526" t="s">
        <v>388</v>
      </c>
      <c r="F193" s="690" t="s">
        <v>497</v>
      </c>
      <c r="G193" s="690"/>
      <c r="H193" s="690"/>
      <c r="I193" s="690"/>
      <c r="J193" s="690"/>
      <c r="K193" s="499">
        <f>+'COMBUSTIBLES '!E7</f>
        <v>4583.5</v>
      </c>
      <c r="L193" s="546" t="s">
        <v>628</v>
      </c>
    </row>
    <row r="194" spans="2:12">
      <c r="D194" s="493" t="s">
        <v>551</v>
      </c>
      <c r="E194" s="526" t="s">
        <v>398</v>
      </c>
      <c r="F194" s="690" t="s">
        <v>495</v>
      </c>
      <c r="G194" s="690"/>
      <c r="H194" s="690"/>
      <c r="I194" s="690"/>
      <c r="J194" s="690"/>
      <c r="K194" s="499">
        <f>+BIODIESEL!F10</f>
        <v>4851.6899999999996</v>
      </c>
      <c r="L194" s="546" t="s">
        <v>628</v>
      </c>
    </row>
    <row r="195" spans="2:12">
      <c r="D195" s="490" t="s">
        <v>552</v>
      </c>
      <c r="E195" s="526">
        <v>7.67</v>
      </c>
      <c r="F195" s="693"/>
      <c r="G195" s="694"/>
      <c r="H195" s="694"/>
      <c r="I195" s="694"/>
      <c r="J195" s="695"/>
      <c r="K195" s="525"/>
    </row>
    <row r="196" spans="2:12">
      <c r="D196" s="493" t="s">
        <v>553</v>
      </c>
      <c r="E196" s="526" t="s">
        <v>444</v>
      </c>
      <c r="F196" s="690" t="s">
        <v>495</v>
      </c>
      <c r="G196" s="690"/>
      <c r="H196" s="690"/>
      <c r="I196" s="690"/>
      <c r="J196" s="690"/>
      <c r="K196" s="499">
        <f>+BIODIESEL!F8</f>
        <v>4400.16</v>
      </c>
      <c r="L196" s="546" t="s">
        <v>628</v>
      </c>
    </row>
    <row r="197" spans="2:12">
      <c r="D197" s="493" t="s">
        <v>554</v>
      </c>
      <c r="E197" s="526" t="s">
        <v>446</v>
      </c>
      <c r="F197" s="690" t="s">
        <v>495</v>
      </c>
      <c r="G197" s="690"/>
      <c r="H197" s="690"/>
      <c r="I197" s="690"/>
      <c r="J197" s="690"/>
      <c r="K197" s="499">
        <f>+BIODIESEL!F9</f>
        <v>451.53</v>
      </c>
      <c r="L197" s="546" t="s">
        <v>628</v>
      </c>
    </row>
    <row r="198" spans="2:12">
      <c r="E198" s="507"/>
    </row>
    <row r="199" spans="2:12">
      <c r="E199" s="506"/>
    </row>
    <row r="201" spans="2:12" ht="36">
      <c r="B201" s="479">
        <v>5</v>
      </c>
      <c r="D201" s="484" t="s">
        <v>555</v>
      </c>
    </row>
    <row r="203" spans="2:12" ht="21">
      <c r="D203" s="482" t="s">
        <v>556</v>
      </c>
    </row>
    <row r="204" spans="2:12">
      <c r="D204" s="488" t="s">
        <v>610</v>
      </c>
    </row>
    <row r="205" spans="2:12">
      <c r="D205" s="480" t="s">
        <v>603</v>
      </c>
    </row>
    <row r="206" spans="2:12">
      <c r="D206" s="480" t="s">
        <v>611</v>
      </c>
    </row>
    <row r="207" spans="2:12">
      <c r="D207" s="489" t="s">
        <v>557</v>
      </c>
    </row>
    <row r="208" spans="2:12">
      <c r="D208" s="489" t="s">
        <v>402</v>
      </c>
    </row>
    <row r="209" spans="4:20">
      <c r="D209" s="480" t="s">
        <v>403</v>
      </c>
    </row>
    <row r="210" spans="4:20">
      <c r="D210" s="480" t="s">
        <v>404</v>
      </c>
    </row>
    <row r="211" spans="4:20">
      <c r="D211" s="480" t="s">
        <v>545</v>
      </c>
    </row>
    <row r="212" spans="4:20">
      <c r="D212" s="480" t="s">
        <v>406</v>
      </c>
    </row>
    <row r="215" spans="4:20" ht="21">
      <c r="D215" s="689" t="s">
        <v>382</v>
      </c>
      <c r="E215" s="682" t="s">
        <v>383</v>
      </c>
      <c r="F215" s="683" t="s">
        <v>384</v>
      </c>
      <c r="G215" s="684"/>
      <c r="H215" s="684"/>
      <c r="I215" s="684"/>
      <c r="J215" s="684"/>
      <c r="K215" s="685"/>
    </row>
    <row r="216" spans="4:20" ht="21">
      <c r="D216" s="689"/>
      <c r="E216" s="682"/>
      <c r="F216" s="686" t="s">
        <v>385</v>
      </c>
      <c r="G216" s="687"/>
      <c r="H216" s="687"/>
      <c r="I216" s="687"/>
      <c r="J216" s="687"/>
      <c r="K216" s="688"/>
    </row>
    <row r="217" spans="4:20">
      <c r="D217" s="495" t="s">
        <v>558</v>
      </c>
      <c r="E217" s="526" t="s">
        <v>559</v>
      </c>
      <c r="F217" s="692" t="s">
        <v>560</v>
      </c>
      <c r="G217" s="692"/>
      <c r="H217" s="692"/>
      <c r="I217" s="692"/>
      <c r="J217" s="692"/>
      <c r="K217" s="524" t="e">
        <f>+#REF!</f>
        <v>#REF!</v>
      </c>
    </row>
    <row r="218" spans="4:20">
      <c r="D218" s="493" t="s">
        <v>561</v>
      </c>
      <c r="E218" s="526" t="s">
        <v>562</v>
      </c>
      <c r="F218" s="690" t="s">
        <v>560</v>
      </c>
      <c r="G218" s="690"/>
      <c r="H218" s="690"/>
      <c r="I218" s="690"/>
      <c r="J218" s="690"/>
      <c r="K218" s="523" t="e">
        <f>+#REF!</f>
        <v>#REF!</v>
      </c>
      <c r="L218" s="546" t="s">
        <v>628</v>
      </c>
    </row>
    <row r="219" spans="4:20">
      <c r="D219" s="493" t="s">
        <v>563</v>
      </c>
      <c r="E219" s="526" t="s">
        <v>562</v>
      </c>
      <c r="F219" s="690" t="s">
        <v>560</v>
      </c>
      <c r="G219" s="690"/>
      <c r="H219" s="690"/>
      <c r="I219" s="690"/>
      <c r="J219" s="690"/>
      <c r="K219" s="523" t="e">
        <f>+#REF!</f>
        <v>#REF!</v>
      </c>
      <c r="L219" s="546" t="s">
        <v>628</v>
      </c>
    </row>
    <row r="220" spans="4:20">
      <c r="D220" s="490" t="s">
        <v>564</v>
      </c>
      <c r="E220" s="526" t="s">
        <v>565</v>
      </c>
      <c r="F220" s="690" t="s">
        <v>560</v>
      </c>
      <c r="G220" s="690"/>
      <c r="H220" s="690"/>
      <c r="I220" s="690"/>
      <c r="J220" s="690"/>
      <c r="K220" s="523" t="e">
        <f>+#REF!</f>
        <v>#REF!</v>
      </c>
      <c r="L220" s="546" t="s">
        <v>628</v>
      </c>
      <c r="T220" s="480" t="s">
        <v>609</v>
      </c>
    </row>
    <row r="221" spans="4:20">
      <c r="D221" s="490" t="s">
        <v>566</v>
      </c>
      <c r="E221" s="526" t="s">
        <v>567</v>
      </c>
      <c r="F221" s="690" t="s">
        <v>560</v>
      </c>
      <c r="G221" s="690"/>
      <c r="H221" s="690"/>
      <c r="I221" s="690"/>
      <c r="J221" s="690"/>
      <c r="K221" s="523" t="e">
        <f>+#REF!</f>
        <v>#REF!</v>
      </c>
      <c r="L221" s="546" t="s">
        <v>628</v>
      </c>
    </row>
    <row r="222" spans="4:20">
      <c r="D222" s="490" t="s">
        <v>641</v>
      </c>
      <c r="E222" s="526"/>
      <c r="F222" s="690" t="s">
        <v>560</v>
      </c>
      <c r="G222" s="690"/>
      <c r="H222" s="690"/>
      <c r="I222" s="690"/>
      <c r="J222" s="690"/>
      <c r="K222" s="523" t="e">
        <f>+#REF!</f>
        <v>#REF!</v>
      </c>
      <c r="L222" s="546" t="s">
        <v>628</v>
      </c>
    </row>
    <row r="223" spans="4:20" ht="15.75" customHeight="1">
      <c r="D223" s="490" t="s">
        <v>642</v>
      </c>
      <c r="E223" s="526"/>
      <c r="F223" s="690" t="s">
        <v>560</v>
      </c>
      <c r="G223" s="690"/>
      <c r="H223" s="690"/>
      <c r="I223" s="690"/>
      <c r="J223" s="690"/>
      <c r="K223" s="523" t="e">
        <f>+#REF!</f>
        <v>#REF!</v>
      </c>
      <c r="L223" s="546" t="s">
        <v>628</v>
      </c>
    </row>
    <row r="224" spans="4:20" ht="15.75" customHeight="1">
      <c r="D224" s="635"/>
      <c r="E224" s="543"/>
      <c r="F224" s="562"/>
      <c r="G224" s="562"/>
      <c r="H224" s="562"/>
      <c r="I224" s="562"/>
      <c r="J224" s="562"/>
      <c r="K224" s="636"/>
      <c r="L224" s="546"/>
    </row>
    <row r="225" spans="2:10">
      <c r="E225" s="506"/>
    </row>
    <row r="226" spans="2:10" ht="36">
      <c r="B226" s="479">
        <v>6</v>
      </c>
      <c r="D226" s="484" t="s">
        <v>568</v>
      </c>
      <c r="E226" s="506"/>
    </row>
    <row r="228" spans="2:10" ht="21">
      <c r="D228" s="482" t="s">
        <v>569</v>
      </c>
    </row>
    <row r="229" spans="2:10">
      <c r="D229" s="489" t="s">
        <v>570</v>
      </c>
    </row>
    <row r="230" spans="2:10">
      <c r="D230" s="489" t="s">
        <v>402</v>
      </c>
    </row>
    <row r="231" spans="2:10">
      <c r="D231" s="480" t="s">
        <v>403</v>
      </c>
    </row>
    <row r="232" spans="2:10">
      <c r="D232" s="480" t="s">
        <v>404</v>
      </c>
    </row>
    <row r="233" spans="2:10">
      <c r="D233" s="480" t="s">
        <v>545</v>
      </c>
    </row>
    <row r="234" spans="2:10">
      <c r="D234" s="480" t="s">
        <v>406</v>
      </c>
    </row>
    <row r="236" spans="2:10" ht="21">
      <c r="D236" s="681" t="s">
        <v>409</v>
      </c>
      <c r="E236" s="682" t="s">
        <v>383</v>
      </c>
      <c r="F236" s="683" t="s">
        <v>384</v>
      </c>
      <c r="G236" s="684"/>
      <c r="H236" s="684"/>
      <c r="I236" s="684"/>
      <c r="J236" s="685"/>
    </row>
    <row r="237" spans="2:10" ht="21">
      <c r="D237" s="681"/>
      <c r="E237" s="682"/>
      <c r="F237" s="686" t="s">
        <v>491</v>
      </c>
      <c r="G237" s="687"/>
      <c r="H237" s="687"/>
      <c r="I237" s="687"/>
      <c r="J237" s="688"/>
    </row>
    <row r="238" spans="2:10">
      <c r="D238" s="495" t="s">
        <v>571</v>
      </c>
      <c r="E238" s="491" t="s">
        <v>572</v>
      </c>
      <c r="F238" s="690" t="s">
        <v>573</v>
      </c>
      <c r="G238" s="690"/>
      <c r="H238" s="690"/>
      <c r="I238" s="690"/>
      <c r="J238" s="690"/>
    </row>
    <row r="239" spans="2:10">
      <c r="D239" s="493" t="s">
        <v>574</v>
      </c>
      <c r="E239" s="491" t="s">
        <v>522</v>
      </c>
      <c r="F239" s="690" t="s">
        <v>573</v>
      </c>
      <c r="G239" s="690"/>
      <c r="H239" s="690"/>
      <c r="I239" s="690"/>
      <c r="J239" s="690"/>
    </row>
    <row r="240" spans="2:10">
      <c r="D240" s="493" t="s">
        <v>575</v>
      </c>
      <c r="E240" s="491" t="s">
        <v>508</v>
      </c>
      <c r="F240" s="690" t="s">
        <v>573</v>
      </c>
      <c r="G240" s="690"/>
      <c r="H240" s="690"/>
      <c r="I240" s="690"/>
      <c r="J240" s="690"/>
    </row>
    <row r="241" spans="2:5">
      <c r="E241" s="480"/>
    </row>
    <row r="243" spans="2:5" ht="36">
      <c r="B243" s="479">
        <v>7</v>
      </c>
      <c r="D243" s="484" t="s">
        <v>576</v>
      </c>
    </row>
    <row r="245" spans="2:5" ht="21">
      <c r="D245" s="482" t="s">
        <v>577</v>
      </c>
    </row>
    <row r="246" spans="2:5">
      <c r="D246" s="489" t="s">
        <v>578</v>
      </c>
    </row>
    <row r="247" spans="2:5">
      <c r="D247" s="489" t="s">
        <v>402</v>
      </c>
    </row>
    <row r="248" spans="2:5">
      <c r="D248" s="480" t="s">
        <v>403</v>
      </c>
    </row>
    <row r="249" spans="2:5">
      <c r="D249" s="480" t="s">
        <v>404</v>
      </c>
    </row>
    <row r="250" spans="2:5">
      <c r="D250" s="480" t="s">
        <v>545</v>
      </c>
    </row>
    <row r="251" spans="2:5" ht="21">
      <c r="D251" s="508" t="s">
        <v>579</v>
      </c>
    </row>
    <row r="255" spans="2:5" ht="36">
      <c r="B255" s="479">
        <v>8</v>
      </c>
      <c r="D255" s="484" t="s">
        <v>580</v>
      </c>
    </row>
    <row r="257" spans="4:12" ht="21">
      <c r="D257" s="482" t="s">
        <v>581</v>
      </c>
    </row>
    <row r="258" spans="4:12">
      <c r="D258" s="489" t="s">
        <v>582</v>
      </c>
    </row>
    <row r="259" spans="4:12">
      <c r="D259" s="489" t="s">
        <v>402</v>
      </c>
    </row>
    <row r="260" spans="4:12">
      <c r="D260" s="480" t="s">
        <v>403</v>
      </c>
    </row>
    <row r="261" spans="4:12">
      <c r="D261" s="480" t="s">
        <v>404</v>
      </c>
    </row>
    <row r="262" spans="4:12">
      <c r="D262" s="480" t="s">
        <v>545</v>
      </c>
    </row>
    <row r="263" spans="4:12">
      <c r="D263" s="480" t="s">
        <v>406</v>
      </c>
    </row>
    <row r="264" spans="4:12">
      <c r="D264" s="488"/>
    </row>
    <row r="266" spans="4:12" ht="21">
      <c r="D266" s="689" t="s">
        <v>382</v>
      </c>
      <c r="E266" s="682" t="s">
        <v>383</v>
      </c>
      <c r="F266" s="683" t="s">
        <v>384</v>
      </c>
      <c r="G266" s="684"/>
      <c r="H266" s="684"/>
      <c r="I266" s="684"/>
      <c r="J266" s="684"/>
      <c r="K266" s="685"/>
    </row>
    <row r="267" spans="4:12" ht="21">
      <c r="D267" s="689"/>
      <c r="E267" s="682"/>
      <c r="F267" s="686" t="s">
        <v>385</v>
      </c>
      <c r="G267" s="687"/>
      <c r="H267" s="687"/>
      <c r="I267" s="687"/>
      <c r="J267" s="687"/>
      <c r="K267" s="688"/>
    </row>
    <row r="268" spans="4:12">
      <c r="D268" s="495" t="s">
        <v>583</v>
      </c>
      <c r="E268" s="514" t="s">
        <v>426</v>
      </c>
      <c r="F268" s="690" t="s">
        <v>389</v>
      </c>
      <c r="G268" s="690"/>
      <c r="H268" s="690"/>
      <c r="I268" s="690"/>
      <c r="J268" s="690"/>
      <c r="K268" s="509">
        <f>+'COMBUSTIBLES '!B8</f>
        <v>8.1370000000000005</v>
      </c>
      <c r="L268" s="533" t="s">
        <v>630</v>
      </c>
    </row>
    <row r="269" spans="4:12">
      <c r="D269" s="493" t="s">
        <v>584</v>
      </c>
      <c r="E269" s="526" t="s">
        <v>393</v>
      </c>
      <c r="F269" s="690" t="s">
        <v>389</v>
      </c>
      <c r="G269" s="690"/>
      <c r="H269" s="690"/>
      <c r="I269" s="690"/>
      <c r="J269" s="690"/>
      <c r="K269" s="509">
        <f>+'COMBUSTIBLES '!B7</f>
        <v>4028</v>
      </c>
      <c r="L269" s="533" t="s">
        <v>630</v>
      </c>
    </row>
    <row r="270" spans="4:12">
      <c r="D270" s="493" t="s">
        <v>585</v>
      </c>
      <c r="E270" s="526"/>
      <c r="F270" s="691" t="s">
        <v>422</v>
      </c>
      <c r="G270" s="691"/>
      <c r="H270" s="691"/>
      <c r="I270" s="691"/>
      <c r="J270" s="691"/>
      <c r="K270" s="536">
        <f>+Variables!E20</f>
        <v>5078.7700000000004</v>
      </c>
      <c r="L270" s="533" t="s">
        <v>630</v>
      </c>
    </row>
    <row r="271" spans="4:12">
      <c r="E271" s="506"/>
    </row>
    <row r="272" spans="4:12">
      <c r="E272" s="506"/>
    </row>
    <row r="273" spans="2:5">
      <c r="E273" s="506"/>
    </row>
    <row r="274" spans="2:5" ht="36">
      <c r="B274" s="479">
        <v>9</v>
      </c>
      <c r="D274" s="484" t="s">
        <v>586</v>
      </c>
      <c r="E274" s="506"/>
    </row>
    <row r="275" spans="2:5">
      <c r="E275" s="506"/>
    </row>
    <row r="276" spans="2:5" ht="21">
      <c r="D276" s="482" t="s">
        <v>587</v>
      </c>
    </row>
    <row r="277" spans="2:5">
      <c r="D277" s="489" t="s">
        <v>588</v>
      </c>
    </row>
    <row r="278" spans="2:5">
      <c r="D278" s="489" t="s">
        <v>402</v>
      </c>
    </row>
    <row r="279" spans="2:5">
      <c r="D279" s="480" t="s">
        <v>403</v>
      </c>
    </row>
    <row r="280" spans="2:5">
      <c r="D280" s="480" t="s">
        <v>404</v>
      </c>
    </row>
    <row r="281" spans="2:5">
      <c r="D281" s="480" t="s">
        <v>545</v>
      </c>
    </row>
    <row r="282" spans="2:5" ht="21">
      <c r="D282" s="508" t="s">
        <v>597</v>
      </c>
    </row>
    <row r="284" spans="2:5">
      <c r="D284" s="488"/>
    </row>
    <row r="289" spans="2:6" ht="23.25">
      <c r="B289" s="480" t="s">
        <v>621</v>
      </c>
      <c r="D289" s="498" t="s">
        <v>589</v>
      </c>
      <c r="E289" s="529" t="s">
        <v>626</v>
      </c>
      <c r="F289" s="510" t="s">
        <v>615</v>
      </c>
    </row>
    <row r="291" spans="2:6">
      <c r="B291" s="480" t="s">
        <v>598</v>
      </c>
      <c r="C291" s="480">
        <v>1</v>
      </c>
      <c r="D291" s="512" t="str">
        <f>CONCATENATE("PRECIO REGULADOS"," ",$E$289)</f>
        <v>PRECIO REGULADOS FEB 1 A FEB 28  2019</v>
      </c>
      <c r="E291" s="506"/>
    </row>
    <row r="292" spans="2:6">
      <c r="D292" s="511" t="s">
        <v>600</v>
      </c>
      <c r="E292" s="506"/>
    </row>
    <row r="293" spans="2:6">
      <c r="D293" s="511"/>
      <c r="E293" s="506"/>
    </row>
    <row r="294" spans="2:6">
      <c r="B294" s="480" t="s">
        <v>599</v>
      </c>
      <c r="C294" s="480">
        <v>2</v>
      </c>
      <c r="D294" s="518" t="str">
        <f>CONCATENATE("PRECIO NO REGULADOS"," ",$E$289)</f>
        <v>PRECIO NO REGULADOS FEB 1 A FEB 28  2019</v>
      </c>
      <c r="E294" s="531" t="s">
        <v>159</v>
      </c>
    </row>
    <row r="295" spans="2:6">
      <c r="D295" s="511" t="s">
        <v>601</v>
      </c>
      <c r="E295" s="506"/>
    </row>
    <row r="296" spans="2:6">
      <c r="D296" s="511"/>
      <c r="E296" s="506"/>
    </row>
    <row r="297" spans="2:6">
      <c r="B297" s="528" t="s">
        <v>622</v>
      </c>
      <c r="C297" s="480">
        <v>3</v>
      </c>
      <c r="D297" s="512" t="str">
        <f>CONCATENATE("PRECIO ZONAS DE FRONTERA "," ",$E$289)</f>
        <v>PRECIO ZONAS DE FRONTERA  FEB 1 A FEB 28  2019</v>
      </c>
      <c r="E297" s="506"/>
    </row>
    <row r="298" spans="2:6">
      <c r="D298" s="511" t="s">
        <v>600</v>
      </c>
      <c r="E298" s="506"/>
    </row>
    <row r="299" spans="2:6">
      <c r="D299" s="511"/>
      <c r="E299" s="506"/>
    </row>
    <row r="300" spans="2:6">
      <c r="B300" s="480" t="s">
        <v>602</v>
      </c>
      <c r="C300" s="480">
        <v>4</v>
      </c>
      <c r="D300" s="512" t="str">
        <f>CONCATENATE("PRECIO ELECTROCOMBUSTIBLE  ",," ",$E$289)</f>
        <v>PRECIO ELECTROCOMBUSTIBLE   FEB 1 A FEB 28  2019</v>
      </c>
      <c r="E300" s="506"/>
    </row>
    <row r="301" spans="2:6">
      <c r="D301" s="511" t="s">
        <v>600</v>
      </c>
      <c r="E301" s="506"/>
    </row>
    <row r="302" spans="2:6">
      <c r="D302" s="511"/>
      <c r="E302" s="506"/>
    </row>
    <row r="303" spans="2:6">
      <c r="B303" s="480" t="s">
        <v>603</v>
      </c>
      <c r="C303" s="480">
        <v>5</v>
      </c>
      <c r="D303" s="512" t="str">
        <f>CONCATENATE("PRECIO DESCUENTO PESQUEROS "," ",$E$289)</f>
        <v>PRECIO DESCUENTO PESQUEROS  FEB 1 A FEB 28  2019</v>
      </c>
      <c r="E303" s="506"/>
    </row>
    <row r="304" spans="2:6">
      <c r="D304" s="511" t="s">
        <v>600</v>
      </c>
      <c r="E304" s="506"/>
    </row>
    <row r="305" spans="2:5">
      <c r="D305" s="511"/>
      <c r="E305" s="506"/>
    </row>
    <row r="306" spans="2:5">
      <c r="B306" s="184" t="s">
        <v>623</v>
      </c>
      <c r="C306" s="480">
        <v>6</v>
      </c>
      <c r="D306" s="512" t="str">
        <f>CONCATENATE("PRECIO ESPECIAL GUAJIRA "," ",$E$289)</f>
        <v>PRECIO ESPECIAL GUAJIRA  FEB 1 A FEB 28  2019</v>
      </c>
      <c r="E306" s="506"/>
    </row>
    <row r="307" spans="2:5">
      <c r="D307" s="511" t="s">
        <v>600</v>
      </c>
      <c r="E307" s="506"/>
    </row>
    <row r="308" spans="2:5">
      <c r="D308" s="511"/>
      <c r="E308" s="506"/>
    </row>
    <row r="309" spans="2:5">
      <c r="B309" s="480" t="s">
        <v>604</v>
      </c>
      <c r="C309" s="480">
        <v>7</v>
      </c>
      <c r="D309" s="518" t="str">
        <f>CONCATENATE("PRECIO ESTRUCTURA TARIFA BIOS "," ",$E$289)</f>
        <v>PRECIO ESTRUCTURA TARIFA BIOS  FEB 1 A FEB 28  2019</v>
      </c>
      <c r="E309" s="506" t="s">
        <v>620</v>
      </c>
    </row>
    <row r="310" spans="2:5">
      <c r="D310" s="511" t="s">
        <v>600</v>
      </c>
      <c r="E310" s="506"/>
    </row>
    <row r="311" spans="2:5">
      <c r="D311" s="511"/>
      <c r="E311" s="506"/>
    </row>
    <row r="312" spans="2:5">
      <c r="B312" s="480" t="s">
        <v>605</v>
      </c>
      <c r="C312" s="480">
        <v>8</v>
      </c>
      <c r="D312" s="512" t="str">
        <f>CONCATENATE("PRECIO GASOLINA  IMPORTADA "," ",$E$289)</f>
        <v>PRECIO GASOLINA  IMPORTADA  FEB 1 A FEB 28  2019</v>
      </c>
      <c r="E312" s="506"/>
    </row>
    <row r="313" spans="2:5">
      <c r="D313" s="511" t="s">
        <v>600</v>
      </c>
      <c r="E313" s="506"/>
    </row>
    <row r="314" spans="2:5">
      <c r="D314" s="511"/>
      <c r="E314" s="506"/>
    </row>
    <row r="315" spans="2:5">
      <c r="B315" s="528" t="s">
        <v>624</v>
      </c>
      <c r="C315" s="480">
        <v>9</v>
      </c>
      <c r="D315" s="518" t="str">
        <f>CONCATENATE("BALANCE VOLUMETRICO REFICAR A ",," ",$E$289)</f>
        <v>BALANCE VOLUMETRICO REFICAR A  FEB 1 A FEB 28  2019</v>
      </c>
      <c r="E315" s="506" t="s">
        <v>620</v>
      </c>
    </row>
    <row r="316" spans="2:5">
      <c r="D316" s="511" t="s">
        <v>600</v>
      </c>
    </row>
  </sheetData>
  <sheetProtection algorithmName="SHA-512" hashValue="9Kg4czNudfrTrayyIS+s4ur4S/je8I7p5RAvmnuCYOVY66iK+etbCMLPUP5Kjp+5YuIZP6iXYDxashB7y1tGhw==" saltValue="dWmXtdCT4TRxx8tF0W/wiw==" spinCount="100000" sheet="1" objects="1" scenarios="1"/>
  <autoFilter ref="D14:L87">
    <filterColumn colId="2" showButton="0"/>
    <filterColumn colId="3" showButton="0"/>
    <filterColumn colId="4" showButton="0"/>
    <filterColumn colId="5" showButton="0"/>
  </autoFilter>
  <mergeCells count="147">
    <mergeCell ref="D236:D237"/>
    <mergeCell ref="E236:E237"/>
    <mergeCell ref="F236:J236"/>
    <mergeCell ref="F237:J237"/>
    <mergeCell ref="D266:D267"/>
    <mergeCell ref="E266:E267"/>
    <mergeCell ref="F266:K266"/>
    <mergeCell ref="F267:K267"/>
    <mergeCell ref="F240:J240"/>
    <mergeCell ref="F268:J268"/>
    <mergeCell ref="F269:J269"/>
    <mergeCell ref="F270:J270"/>
    <mergeCell ref="F218:J218"/>
    <mergeCell ref="F219:J219"/>
    <mergeCell ref="F220:J220"/>
    <mergeCell ref="F221:J221"/>
    <mergeCell ref="F238:J238"/>
    <mergeCell ref="F239:J239"/>
    <mergeCell ref="F222:J222"/>
    <mergeCell ref="F223:J223"/>
    <mergeCell ref="F193:J193"/>
    <mergeCell ref="F194:J194"/>
    <mergeCell ref="F195:J195"/>
    <mergeCell ref="F196:J196"/>
    <mergeCell ref="F197:J197"/>
    <mergeCell ref="F217:J217"/>
    <mergeCell ref="F171:J171"/>
    <mergeCell ref="F172:J172"/>
    <mergeCell ref="F189:J189"/>
    <mergeCell ref="F190:J190"/>
    <mergeCell ref="F191:J191"/>
    <mergeCell ref="F192:J192"/>
    <mergeCell ref="F165:J165"/>
    <mergeCell ref="F166:J166"/>
    <mergeCell ref="F167:J167"/>
    <mergeCell ref="F168:J168"/>
    <mergeCell ref="F169:J169"/>
    <mergeCell ref="F170:J170"/>
    <mergeCell ref="F159:J159"/>
    <mergeCell ref="F160:J160"/>
    <mergeCell ref="F161:J161"/>
    <mergeCell ref="F162:J162"/>
    <mergeCell ref="F163:J163"/>
    <mergeCell ref="F164:J164"/>
    <mergeCell ref="F153:J153"/>
    <mergeCell ref="F154:J154"/>
    <mergeCell ref="F155:J155"/>
    <mergeCell ref="F156:J156"/>
    <mergeCell ref="F157:J157"/>
    <mergeCell ref="F158:J158"/>
    <mergeCell ref="F147:J147"/>
    <mergeCell ref="F148:J148"/>
    <mergeCell ref="F149:J149"/>
    <mergeCell ref="F150:J150"/>
    <mergeCell ref="F151:J151"/>
    <mergeCell ref="F152:J152"/>
    <mergeCell ref="F132:J132"/>
    <mergeCell ref="F133:J133"/>
    <mergeCell ref="D145:D146"/>
    <mergeCell ref="E145:E146"/>
    <mergeCell ref="F145:J145"/>
    <mergeCell ref="F146:J146"/>
    <mergeCell ref="F119:J119"/>
    <mergeCell ref="F120:J120"/>
    <mergeCell ref="F121:J121"/>
    <mergeCell ref="F122:J122"/>
    <mergeCell ref="F123:J123"/>
    <mergeCell ref="F124:J124"/>
    <mergeCell ref="F113:J113"/>
    <mergeCell ref="F114:J114"/>
    <mergeCell ref="F115:J115"/>
    <mergeCell ref="F116:J116"/>
    <mergeCell ref="F117:J117"/>
    <mergeCell ref="F118:J118"/>
    <mergeCell ref="F45:J45"/>
    <mergeCell ref="F46:J46"/>
    <mergeCell ref="F91:J91"/>
    <mergeCell ref="F92:J92"/>
    <mergeCell ref="F93:J93"/>
    <mergeCell ref="F51:J51"/>
    <mergeCell ref="F53:J53"/>
    <mergeCell ref="F54:J54"/>
    <mergeCell ref="F52:I52"/>
    <mergeCell ref="F55:I55"/>
    <mergeCell ref="F56:I56"/>
    <mergeCell ref="F57:I57"/>
    <mergeCell ref="F58:I58"/>
    <mergeCell ref="F59:I59"/>
    <mergeCell ref="F60:I60"/>
    <mergeCell ref="F61:I61"/>
    <mergeCell ref="F62:I62"/>
    <mergeCell ref="F63:I63"/>
    <mergeCell ref="E111:E112"/>
    <mergeCell ref="F111:J111"/>
    <mergeCell ref="F112:J112"/>
    <mergeCell ref="F39:J39"/>
    <mergeCell ref="F40:J40"/>
    <mergeCell ref="F41:J41"/>
    <mergeCell ref="F42:J42"/>
    <mergeCell ref="F43:J43"/>
    <mergeCell ref="F44:J44"/>
    <mergeCell ref="F47:J47"/>
    <mergeCell ref="F48:J48"/>
    <mergeCell ref="F49:J49"/>
    <mergeCell ref="F50:J50"/>
    <mergeCell ref="F64:I64"/>
    <mergeCell ref="F65:I65"/>
    <mergeCell ref="F66:I66"/>
    <mergeCell ref="F67:I67"/>
    <mergeCell ref="F68:I68"/>
    <mergeCell ref="D14:D15"/>
    <mergeCell ref="E14:E15"/>
    <mergeCell ref="F14:J14"/>
    <mergeCell ref="F15:J15"/>
    <mergeCell ref="F22:J22"/>
    <mergeCell ref="F23:J23"/>
    <mergeCell ref="F24:J24"/>
    <mergeCell ref="F16:J16"/>
    <mergeCell ref="F17:J17"/>
    <mergeCell ref="F18:J18"/>
    <mergeCell ref="F19:J19"/>
    <mergeCell ref="F20:J20"/>
    <mergeCell ref="F21:J21"/>
    <mergeCell ref="K14:K15"/>
    <mergeCell ref="D187:D188"/>
    <mergeCell ref="E187:E188"/>
    <mergeCell ref="F187:J187"/>
    <mergeCell ref="F188:J188"/>
    <mergeCell ref="D215:D216"/>
    <mergeCell ref="E215:E216"/>
    <mergeCell ref="F215:K215"/>
    <mergeCell ref="F216:K216"/>
    <mergeCell ref="F25:J25"/>
    <mergeCell ref="F26:J26"/>
    <mergeCell ref="F33:J33"/>
    <mergeCell ref="F34:J34"/>
    <mergeCell ref="F35:J35"/>
    <mergeCell ref="F36:J36"/>
    <mergeCell ref="F37:J37"/>
    <mergeCell ref="F38:J38"/>
    <mergeCell ref="F27:J27"/>
    <mergeCell ref="F28:J28"/>
    <mergeCell ref="F29:J29"/>
    <mergeCell ref="F30:J30"/>
    <mergeCell ref="F31:J31"/>
    <mergeCell ref="F32:J32"/>
    <mergeCell ref="D111:D112"/>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M42"/>
  <sheetViews>
    <sheetView showGridLines="0" zoomScale="80" zoomScaleNormal="80" workbookViewId="0">
      <selection activeCell="P3" sqref="P3"/>
    </sheetView>
  </sheetViews>
  <sheetFormatPr baseColWidth="10" defaultColWidth="9.85546875" defaultRowHeight="14.25"/>
  <cols>
    <col min="1" max="1" width="9.85546875" style="12"/>
    <col min="2" max="2" width="47.85546875" style="12" customWidth="1"/>
    <col min="3" max="5" width="23.85546875" style="12" customWidth="1"/>
    <col min="6" max="6" width="24.7109375" style="12" customWidth="1"/>
    <col min="7" max="7" width="9.85546875" style="12"/>
    <col min="8" max="8" width="15.28515625" style="12" bestFit="1" customWidth="1"/>
    <col min="9" max="16384" width="9.85546875" style="12"/>
  </cols>
  <sheetData>
    <row r="1" spans="2:13" s="59" customFormat="1" ht="20.25" customHeight="1">
      <c r="B1" s="807" t="s">
        <v>13</v>
      </c>
      <c r="C1" s="807"/>
      <c r="D1" s="807"/>
      <c r="E1" s="807"/>
      <c r="F1" s="807"/>
      <c r="H1" s="806" t="s">
        <v>686</v>
      </c>
      <c r="I1" s="806"/>
      <c r="J1" s="806"/>
      <c r="K1" s="806"/>
      <c r="L1" s="806"/>
      <c r="M1" s="628"/>
    </row>
    <row r="2" spans="2:13" s="59" customFormat="1" ht="20.25" customHeight="1">
      <c r="B2" s="807" t="s">
        <v>211</v>
      </c>
      <c r="C2" s="807"/>
      <c r="D2" s="807"/>
      <c r="E2" s="807"/>
      <c r="F2" s="807"/>
      <c r="H2" s="806"/>
      <c r="I2" s="806"/>
      <c r="J2" s="806"/>
      <c r="K2" s="806"/>
      <c r="L2" s="806"/>
      <c r="M2" s="628"/>
    </row>
    <row r="3" spans="2:13" s="59" customFormat="1" ht="20.25">
      <c r="B3" s="807" t="s">
        <v>14</v>
      </c>
      <c r="C3" s="807"/>
      <c r="D3" s="807"/>
      <c r="E3" s="807"/>
      <c r="F3" s="807"/>
      <c r="H3" s="628"/>
      <c r="I3" s="628"/>
      <c r="J3" s="628"/>
      <c r="K3" s="628"/>
      <c r="L3" s="628"/>
      <c r="M3" s="628"/>
    </row>
    <row r="4" spans="2:13" ht="15">
      <c r="B4" s="27"/>
      <c r="C4" s="27"/>
      <c r="D4" s="27"/>
      <c r="E4" s="27"/>
      <c r="H4" s="629">
        <v>0</v>
      </c>
      <c r="I4" s="630" t="s">
        <v>684</v>
      </c>
      <c r="J4" s="630"/>
      <c r="K4" s="630"/>
      <c r="L4" s="630"/>
    </row>
    <row r="5" spans="2:13" ht="15.75" thickBot="1">
      <c r="B5" s="49"/>
      <c r="H5" s="629">
        <v>0</v>
      </c>
      <c r="I5" s="630" t="s">
        <v>685</v>
      </c>
      <c r="J5" s="630"/>
      <c r="K5" s="630"/>
      <c r="L5" s="630"/>
    </row>
    <row r="6" spans="2:13" ht="45" customHeight="1" thickTop="1">
      <c r="B6" s="98" t="s">
        <v>15</v>
      </c>
      <c r="C6" s="99" t="s">
        <v>16</v>
      </c>
      <c r="D6" s="99" t="s">
        <v>17</v>
      </c>
      <c r="E6" s="99" t="s">
        <v>18</v>
      </c>
      <c r="F6" s="100" t="s">
        <v>386</v>
      </c>
    </row>
    <row r="7" spans="2:13" ht="30" customHeight="1" thickBot="1">
      <c r="B7" s="118"/>
      <c r="C7" s="74" t="str">
        <f>+'COMBUSTIBLES '!B6</f>
        <v>01 DE SEPTIEMBRE 2020</v>
      </c>
      <c r="D7" s="74" t="str">
        <f>+C7</f>
        <v>01 DE SEPTIEMBRE 2020</v>
      </c>
      <c r="E7" s="74" t="str">
        <f>+D7</f>
        <v>01 DE SEPTIEMBRE 2020</v>
      </c>
      <c r="F7" s="75" t="str">
        <f>+E7</f>
        <v>01 DE SEPTIEMBRE 2020</v>
      </c>
    </row>
    <row r="8" spans="2:13" ht="27" customHeight="1" thickTop="1">
      <c r="B8" s="115" t="s">
        <v>19</v>
      </c>
      <c r="C8" s="116">
        <f>'COMBUSTIBLES '!B7-H4</f>
        <v>4028</v>
      </c>
      <c r="D8" s="116">
        <f>'COMBUSTIBLES '!D7</f>
        <v>5700</v>
      </c>
      <c r="E8" s="116">
        <f>'COMBUSTIBLES '!E7-H5</f>
        <v>4583.5</v>
      </c>
      <c r="F8" s="117">
        <f>+(E8*98%)+BIODIESEL!E9</f>
        <v>4717.6000000000004</v>
      </c>
    </row>
    <row r="9" spans="2:13" ht="27" customHeight="1">
      <c r="B9" s="366" t="s">
        <v>238</v>
      </c>
      <c r="C9" s="102" t="s">
        <v>59</v>
      </c>
      <c r="D9" s="102" t="str">
        <f>+C9</f>
        <v>(*****)</v>
      </c>
      <c r="E9" s="102" t="str">
        <f>+C9</f>
        <v>(*****)</v>
      </c>
      <c r="F9" s="103" t="str">
        <f>+D9</f>
        <v>(*****)</v>
      </c>
    </row>
    <row r="10" spans="2:13" ht="27" customHeight="1">
      <c r="B10" s="101" t="s">
        <v>295</v>
      </c>
      <c r="C10" s="102">
        <f>+'COMBUSTIBLES '!B8</f>
        <v>8.1370000000000005</v>
      </c>
      <c r="D10" s="102">
        <f>+C10</f>
        <v>8.1370000000000005</v>
      </c>
      <c r="E10" s="102">
        <f>+'COMBUSTIBLES '!E8</f>
        <v>8.1370000000000005</v>
      </c>
      <c r="F10" s="103">
        <f>+BIODIESEL!F14</f>
        <v>8.1370000000000005</v>
      </c>
    </row>
    <row r="11" spans="2:13" ht="27" customHeight="1">
      <c r="B11" s="104" t="s">
        <v>239</v>
      </c>
      <c r="C11" s="102">
        <f>'COMBUSTIBLES '!B10</f>
        <v>71.510000000000005</v>
      </c>
      <c r="D11" s="102">
        <f>'COMBUSTIBLES '!B10</f>
        <v>71.510000000000005</v>
      </c>
      <c r="E11" s="102">
        <f>'COMBUSTIBLES '!E10</f>
        <v>71.510000000000005</v>
      </c>
      <c r="F11" s="103">
        <f>+E11</f>
        <v>71.510000000000005</v>
      </c>
      <c r="H11" s="367">
        <f>+E8*0.98</f>
        <v>4491.83</v>
      </c>
    </row>
    <row r="12" spans="2:13" ht="27" customHeight="1">
      <c r="B12" s="101" t="s">
        <v>374</v>
      </c>
      <c r="C12" s="102">
        <f>Variables!C24</f>
        <v>1076.06</v>
      </c>
      <c r="D12" s="102">
        <f>Variables!C25</f>
        <v>1138.57</v>
      </c>
      <c r="E12" s="102">
        <f>Variables!C34</f>
        <v>712.94</v>
      </c>
      <c r="F12" s="103">
        <f>E12*98%</f>
        <v>698.68119999999999</v>
      </c>
      <c r="H12" s="617">
        <f>+BIODIESEL!E9</f>
        <v>225.77</v>
      </c>
    </row>
    <row r="13" spans="2:13" s="304" customFormat="1" ht="27" customHeight="1">
      <c r="B13" s="101" t="s">
        <v>271</v>
      </c>
      <c r="C13" s="105"/>
      <c r="D13" s="105"/>
      <c r="E13" s="105"/>
      <c r="F13" s="106"/>
      <c r="H13" s="617">
        <f>+H11+H12</f>
        <v>4717.6000000000004</v>
      </c>
    </row>
    <row r="14" spans="2:13" s="304" customFormat="1" ht="27" customHeight="1">
      <c r="B14" s="101" t="s">
        <v>360</v>
      </c>
      <c r="C14" s="105">
        <f>'COMBUSTIBLES '!B13</f>
        <v>155</v>
      </c>
      <c r="D14" s="105">
        <f>'COMBUSTIBLES '!C13</f>
        <v>155</v>
      </c>
      <c r="E14" s="105">
        <f>'COMBUSTIBLES '!E13</f>
        <v>174</v>
      </c>
      <c r="F14" s="106">
        <f>+BIODIESEL!E13</f>
        <v>170.52</v>
      </c>
      <c r="G14" s="304" t="s">
        <v>159</v>
      </c>
    </row>
    <row r="15" spans="2:13" ht="44.25" customHeight="1">
      <c r="B15" s="107" t="s">
        <v>23</v>
      </c>
      <c r="C15" s="108">
        <f>SUM(C8:C14)</f>
        <v>5338.7070000000003</v>
      </c>
      <c r="D15" s="108">
        <f>SUM(D8:D14)</f>
        <v>7073.2169999999996</v>
      </c>
      <c r="E15" s="108">
        <f>SUM(E8:E14)</f>
        <v>5550.0869999999995</v>
      </c>
      <c r="F15" s="109">
        <f>SUM(F8:F14)</f>
        <v>5666.4482000000007</v>
      </c>
    </row>
    <row r="16" spans="2:13" ht="32.25" customHeight="1">
      <c r="B16" s="101" t="s">
        <v>4</v>
      </c>
      <c r="C16" s="110" t="s">
        <v>12</v>
      </c>
      <c r="D16" s="102"/>
      <c r="E16" s="110" t="str">
        <f>+C16</f>
        <v>(**)</v>
      </c>
      <c r="F16" s="111" t="str">
        <f>+E16</f>
        <v>(**)</v>
      </c>
    </row>
    <row r="17" spans="2:7" s="50" customFormat="1" ht="29.25" customHeight="1">
      <c r="B17" s="136" t="s">
        <v>243</v>
      </c>
      <c r="C17" s="110" t="s">
        <v>22</v>
      </c>
      <c r="D17" s="110" t="str">
        <f>+C17</f>
        <v>(***)</v>
      </c>
      <c r="E17" s="110" t="str">
        <f>+D17</f>
        <v>(***)</v>
      </c>
      <c r="F17" s="111" t="str">
        <f>+E17</f>
        <v>(***)</v>
      </c>
    </row>
    <row r="18" spans="2:7" s="304" customFormat="1" ht="30" customHeight="1" thickBot="1">
      <c r="B18" s="112" t="s">
        <v>210</v>
      </c>
      <c r="C18" s="113" t="s">
        <v>225</v>
      </c>
      <c r="D18" s="113" t="str">
        <f>+C18</f>
        <v>(****)</v>
      </c>
      <c r="E18" s="113" t="str">
        <f>+D18</f>
        <v>(****)</v>
      </c>
      <c r="F18" s="114" t="str">
        <f>+E18</f>
        <v>(****)</v>
      </c>
    </row>
    <row r="19" spans="2:7" ht="15" thickTop="1"/>
    <row r="20" spans="2:7" s="97" customFormat="1" ht="40.5" customHeight="1">
      <c r="B20" s="808" t="s">
        <v>237</v>
      </c>
      <c r="C20" s="808"/>
      <c r="D20" s="808"/>
      <c r="E20" s="808"/>
    </row>
    <row r="21" spans="2:7" s="97" customFormat="1" ht="30.75" customHeight="1">
      <c r="B21" s="772" t="s">
        <v>280</v>
      </c>
      <c r="C21" s="772"/>
      <c r="D21" s="772"/>
      <c r="E21" s="772"/>
    </row>
    <row r="22" spans="2:7" s="97" customFormat="1" ht="5.25" customHeight="1">
      <c r="B22" s="327"/>
      <c r="C22" s="327"/>
      <c r="D22" s="327"/>
      <c r="E22" s="327"/>
    </row>
    <row r="23" spans="2:7" s="97" customFormat="1" ht="17.25" customHeight="1">
      <c r="B23" s="808" t="s">
        <v>240</v>
      </c>
      <c r="C23" s="808"/>
      <c r="D23" s="808"/>
      <c r="E23" s="808"/>
    </row>
    <row r="24" spans="2:7" s="97" customFormat="1" ht="3.75" customHeight="1">
      <c r="B24" s="305"/>
      <c r="C24" s="305"/>
      <c r="D24" s="305"/>
      <c r="E24" s="305"/>
    </row>
    <row r="25" spans="2:7" s="97" customFormat="1" ht="17.25" customHeight="1">
      <c r="B25" s="808" t="s">
        <v>258</v>
      </c>
      <c r="C25" s="808"/>
      <c r="D25" s="808"/>
      <c r="E25" s="808"/>
    </row>
    <row r="26" spans="2:7" s="97" customFormat="1" ht="8.25" customHeight="1">
      <c r="B26" s="305"/>
      <c r="C26" s="305"/>
      <c r="D26" s="305"/>
      <c r="E26" s="305"/>
    </row>
    <row r="27" spans="2:7" s="97" customFormat="1" ht="25.5" customHeight="1">
      <c r="B27" s="808" t="s">
        <v>241</v>
      </c>
      <c r="C27" s="808"/>
      <c r="D27" s="808"/>
      <c r="E27" s="808"/>
    </row>
    <row r="28" spans="2:7" ht="7.5" customHeight="1">
      <c r="B28" s="307"/>
      <c r="C28" s="307"/>
      <c r="D28" s="307"/>
      <c r="E28" s="307"/>
    </row>
    <row r="29" spans="2:7" s="304" customFormat="1" ht="45.75" customHeight="1">
      <c r="B29" s="765" t="s">
        <v>341</v>
      </c>
      <c r="C29" s="765"/>
      <c r="D29" s="765"/>
      <c r="E29" s="765"/>
    </row>
    <row r="30" spans="2:7" s="304" customFormat="1" ht="8.25" customHeight="1">
      <c r="B30" s="307"/>
      <c r="C30" s="307"/>
      <c r="D30" s="307"/>
      <c r="E30" s="307"/>
    </row>
    <row r="31" spans="2:7" ht="39.75" customHeight="1">
      <c r="B31" s="765" t="s">
        <v>297</v>
      </c>
      <c r="C31" s="765"/>
      <c r="D31" s="765"/>
      <c r="E31" s="765"/>
      <c r="F31" s="765"/>
      <c r="G31" s="765"/>
    </row>
    <row r="32" spans="2:7" ht="9.75" customHeight="1"/>
    <row r="33" spans="2:6">
      <c r="B33" s="772" t="s">
        <v>296</v>
      </c>
      <c r="C33" s="772"/>
      <c r="D33" s="772"/>
      <c r="E33" s="772"/>
    </row>
    <row r="35" spans="2:6">
      <c r="B35" s="772" t="s">
        <v>375</v>
      </c>
      <c r="C35" s="772"/>
      <c r="D35" s="772"/>
      <c r="E35" s="772"/>
    </row>
    <row r="36" spans="2:6" s="304" customFormat="1">
      <c r="B36" s="474"/>
      <c r="C36" s="474"/>
      <c r="D36" s="474"/>
      <c r="E36" s="474"/>
    </row>
    <row r="37" spans="2:6" ht="86.25" customHeight="1">
      <c r="B37" s="749" t="s">
        <v>337</v>
      </c>
      <c r="C37" s="749"/>
      <c r="D37" s="749"/>
      <c r="E37" s="749"/>
      <c r="F37" s="749"/>
    </row>
    <row r="42" spans="2:6">
      <c r="B42" s="765"/>
      <c r="C42" s="765"/>
      <c r="D42" s="765"/>
      <c r="E42" s="765"/>
    </row>
  </sheetData>
  <mergeCells count="15">
    <mergeCell ref="H1:L2"/>
    <mergeCell ref="B42:E42"/>
    <mergeCell ref="B29:E29"/>
    <mergeCell ref="B37:F37"/>
    <mergeCell ref="B1:F1"/>
    <mergeCell ref="B2:F2"/>
    <mergeCell ref="B3:F3"/>
    <mergeCell ref="B20:E20"/>
    <mergeCell ref="B21:E21"/>
    <mergeCell ref="B33:E33"/>
    <mergeCell ref="B23:E23"/>
    <mergeCell ref="B25:E25"/>
    <mergeCell ref="B27:E27"/>
    <mergeCell ref="B31:G31"/>
    <mergeCell ref="B35:E35"/>
  </mergeCells>
  <phoneticPr fontId="22" type="noConversion"/>
  <printOptions horizontalCentered="1" verticalCentered="1"/>
  <pageMargins left="0.74803149606299213" right="0.74803149606299213" top="0.98425196850393704" bottom="0.98425196850393704" header="0" footer="0"/>
  <pageSetup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4"/>
  <sheetViews>
    <sheetView zoomScale="70" zoomScaleNormal="70" workbookViewId="0">
      <selection activeCell="D5" sqref="D5"/>
    </sheetView>
  </sheetViews>
  <sheetFormatPr baseColWidth="10" defaultColWidth="9.85546875" defaultRowHeight="14.25" outlineLevelRow="1" outlineLevelCol="2"/>
  <cols>
    <col min="1" max="2" width="9.85546875" style="3" customWidth="1"/>
    <col min="3" max="3" width="46.7109375" style="3" customWidth="1"/>
    <col min="4" max="4" width="33.28515625" style="3" customWidth="1"/>
    <col min="5" max="5" width="27.5703125" style="3" customWidth="1"/>
    <col min="6" max="6" width="34.42578125" style="3" customWidth="1" outlineLevel="1"/>
    <col min="7" max="7" width="28.7109375" style="3" hidden="1" customWidth="1" outlineLevel="2"/>
    <col min="8" max="8" width="31.140625" style="3" hidden="1" customWidth="1" outlineLevel="2"/>
    <col min="9" max="9" width="23.7109375" style="3" hidden="1" customWidth="1" outlineLevel="1" collapsed="1"/>
    <col min="10" max="10" width="32.28515625" style="3" customWidth="1" outlineLevel="1"/>
    <col min="11" max="11" width="11.28515625" style="3" customWidth="1"/>
    <col min="12" max="12" width="10.7109375" style="3" bestFit="1" customWidth="1"/>
    <col min="13" max="16384" width="9.85546875" style="3"/>
  </cols>
  <sheetData>
    <row r="1" spans="3:12" ht="15">
      <c r="C1" s="814" t="s">
        <v>208</v>
      </c>
      <c r="D1" s="814"/>
      <c r="E1" s="814"/>
      <c r="F1" s="814"/>
      <c r="G1" s="814"/>
      <c r="H1" s="814"/>
    </row>
    <row r="2" spans="3:12" ht="15">
      <c r="C2" s="814" t="s">
        <v>33</v>
      </c>
      <c r="D2" s="814"/>
      <c r="E2" s="814"/>
      <c r="F2" s="814"/>
      <c r="G2" s="814"/>
      <c r="H2" s="814"/>
    </row>
    <row r="3" spans="3:12" ht="15">
      <c r="C3" s="814" t="s">
        <v>14</v>
      </c>
      <c r="D3" s="814"/>
      <c r="E3" s="814"/>
      <c r="F3" s="814"/>
      <c r="G3" s="814"/>
      <c r="H3" s="814"/>
    </row>
    <row r="4" spans="3:12" ht="24.75" customHeight="1" thickBot="1">
      <c r="C4" s="302" t="s">
        <v>697</v>
      </c>
      <c r="D4" s="31"/>
      <c r="E4" s="32"/>
      <c r="F4" s="816"/>
      <c r="G4" s="816"/>
      <c r="H4" s="450"/>
      <c r="I4" s="450"/>
    </row>
    <row r="5" spans="3:12" ht="45" customHeight="1" thickTop="1">
      <c r="C5" s="120" t="s">
        <v>15</v>
      </c>
      <c r="D5" s="337" t="s">
        <v>212</v>
      </c>
      <c r="E5" s="337" t="s">
        <v>263</v>
      </c>
      <c r="F5" s="337" t="s">
        <v>338</v>
      </c>
      <c r="I5" s="337" t="s">
        <v>264</v>
      </c>
      <c r="J5" s="338" t="s">
        <v>665</v>
      </c>
    </row>
    <row r="6" spans="3:12" ht="22.5" customHeight="1">
      <c r="C6" s="339" t="s">
        <v>19</v>
      </c>
      <c r="D6" s="332">
        <f>'COMBUSTIBLES '!E7</f>
        <v>4583.5</v>
      </c>
      <c r="E6" s="332">
        <f>+D6</f>
        <v>4583.5</v>
      </c>
      <c r="F6" s="332">
        <f>+E6*80%</f>
        <v>3666.8</v>
      </c>
      <c r="I6" s="332">
        <f>+BIODIESEL!B7*4%+(F6)*96%</f>
        <v>3971.6608000000001</v>
      </c>
      <c r="J6" s="341">
        <f>+BIODIESEL!B7*2%+(F6)*98%</f>
        <v>3819.2303999999999</v>
      </c>
      <c r="L6" s="35"/>
    </row>
    <row r="7" spans="3:12" ht="22.5" customHeight="1">
      <c r="C7" s="342" t="str">
        <f>+'GASOLINA CORRIENTE OXIGENADA'!A11</f>
        <v>Impuesto Nacional a la Gasolina y al ACPM</v>
      </c>
      <c r="D7" s="335">
        <f>Variables!C32</f>
        <v>522.85</v>
      </c>
      <c r="E7" s="335">
        <f>Variables!C33</f>
        <v>666.38</v>
      </c>
      <c r="F7" s="335">
        <f>+E7</f>
        <v>666.38</v>
      </c>
      <c r="G7" s="83"/>
      <c r="H7" s="83"/>
      <c r="I7" s="335">
        <f>ROUND(F7*96%,2)</f>
        <v>639.72</v>
      </c>
      <c r="J7" s="121">
        <f>ROUND(E7*98%,2)</f>
        <v>653.04999999999995</v>
      </c>
    </row>
    <row r="8" spans="3:12" ht="22.5" customHeight="1">
      <c r="C8" s="342" t="str">
        <f>+'GASOLINA CORRIENTE OXIGENADA'!A12</f>
        <v>Impuesto sobre las Ventas</v>
      </c>
      <c r="D8" s="476" t="str">
        <f>'COMBUSTIBLES '!E12</f>
        <v>(3)</v>
      </c>
      <c r="E8" s="476" t="str">
        <f>'COMBUSTIBLES '!E12</f>
        <v>(3)</v>
      </c>
      <c r="F8" s="476" t="str">
        <f>+E8</f>
        <v>(3)</v>
      </c>
      <c r="G8" s="477"/>
      <c r="H8" s="477"/>
      <c r="I8" s="476" t="str">
        <f>+F8</f>
        <v>(3)</v>
      </c>
      <c r="J8" s="478" t="str">
        <f>+I8</f>
        <v>(3)</v>
      </c>
    </row>
    <row r="9" spans="3:12" ht="22.5" customHeight="1">
      <c r="C9" s="342" t="str">
        <f>+'GASOLINA CORRIENTE OXIGENADA'!A13</f>
        <v>Impuesto al carbono</v>
      </c>
      <c r="D9" s="332">
        <f>'COMBUSTIBLES '!E13</f>
        <v>174</v>
      </c>
      <c r="E9" s="332">
        <f>'COMBUSTIBLES '!E13</f>
        <v>174</v>
      </c>
      <c r="F9" s="332">
        <f>'COMBUSTIBLES '!E13</f>
        <v>174</v>
      </c>
      <c r="I9" s="332">
        <f>ROUND(F9*96%,2)</f>
        <v>167.04</v>
      </c>
      <c r="J9" s="341">
        <f>ROUND(E9*98%,2)</f>
        <v>170.52</v>
      </c>
    </row>
    <row r="10" spans="3:12" ht="22.5" customHeight="1">
      <c r="C10" s="339" t="s">
        <v>242</v>
      </c>
      <c r="D10" s="334" t="str">
        <f>+I10</f>
        <v>(*)</v>
      </c>
      <c r="E10" s="334" t="str">
        <f>+D10</f>
        <v>(*)</v>
      </c>
      <c r="F10" s="334" t="str">
        <f>+E10</f>
        <v>(*)</v>
      </c>
      <c r="I10" s="334" t="s">
        <v>11</v>
      </c>
      <c r="J10" s="408" t="str">
        <f>+I10</f>
        <v>(*)</v>
      </c>
    </row>
    <row r="11" spans="3:12" ht="22.5" customHeight="1">
      <c r="C11" s="104" t="s">
        <v>239</v>
      </c>
      <c r="D11" s="335">
        <f>'COMBUSTIBLES '!E10</f>
        <v>71.510000000000005</v>
      </c>
      <c r="E11" s="335">
        <f>+D11</f>
        <v>71.510000000000005</v>
      </c>
      <c r="F11" s="335">
        <f>+E11</f>
        <v>71.510000000000005</v>
      </c>
      <c r="I11" s="335">
        <f>+F11</f>
        <v>71.510000000000005</v>
      </c>
      <c r="J11" s="121">
        <f>+I11</f>
        <v>71.510000000000005</v>
      </c>
    </row>
    <row r="12" spans="3:12" ht="22.5" customHeight="1">
      <c r="C12" s="343" t="s">
        <v>215</v>
      </c>
      <c r="D12" s="336">
        <f>SUM(D6:D11)</f>
        <v>5351.8600000000006</v>
      </c>
      <c r="E12" s="336">
        <f>SUM(E6:E11)</f>
        <v>5495.39</v>
      </c>
      <c r="F12" s="336">
        <f>SUM(F6:F11)</f>
        <v>4578.6900000000005</v>
      </c>
      <c r="I12" s="336">
        <f>SUM(I6:I11)</f>
        <v>4849.9308000000001</v>
      </c>
      <c r="J12" s="344">
        <f>SUM(J6:J11)</f>
        <v>4714.3104000000003</v>
      </c>
    </row>
    <row r="13" spans="3:12" ht="22.5" customHeight="1" thickBot="1">
      <c r="C13" s="345" t="s">
        <v>8</v>
      </c>
      <c r="D13" s="346">
        <f>'COMBUSTIBLES '!E16</f>
        <v>301.48</v>
      </c>
      <c r="E13" s="346"/>
      <c r="F13" s="346"/>
      <c r="I13" s="346"/>
      <c r="J13" s="347"/>
    </row>
    <row r="14" spans="3:12" ht="12" customHeight="1" thickTop="1">
      <c r="C14" s="331"/>
      <c r="D14" s="29"/>
      <c r="E14" s="29"/>
      <c r="F14" s="451"/>
      <c r="G14" s="451"/>
      <c r="H14" s="451"/>
      <c r="I14" s="450"/>
    </row>
    <row r="15" spans="3:12" ht="18.75" customHeight="1">
      <c r="C15" s="817" t="s">
        <v>259</v>
      </c>
      <c r="D15" s="817"/>
      <c r="E15" s="817"/>
      <c r="F15" s="817"/>
      <c r="G15" s="817"/>
      <c r="H15" s="817"/>
    </row>
    <row r="16" spans="3:12" ht="49.5" customHeight="1">
      <c r="C16" s="815" t="s">
        <v>261</v>
      </c>
      <c r="D16" s="815"/>
      <c r="E16" s="815"/>
      <c r="F16" s="815"/>
      <c r="G16" s="815"/>
      <c r="H16" s="815"/>
    </row>
    <row r="17" spans="3:11" ht="34.5" customHeight="1">
      <c r="C17" s="765" t="s">
        <v>297</v>
      </c>
      <c r="D17" s="765"/>
      <c r="E17" s="765"/>
      <c r="F17" s="765"/>
      <c r="G17" s="765"/>
      <c r="H17" s="765"/>
    </row>
    <row r="18" spans="3:11">
      <c r="C18" s="765" t="s">
        <v>339</v>
      </c>
      <c r="D18" s="765"/>
      <c r="E18" s="765"/>
      <c r="F18" s="765"/>
      <c r="G18" s="765"/>
      <c r="H18" s="765"/>
    </row>
    <row r="19" spans="3:11" ht="28.5" customHeight="1">
      <c r="C19" s="348"/>
      <c r="D19" s="348"/>
      <c r="E19" s="348"/>
      <c r="F19" s="348"/>
      <c r="G19" s="348"/>
      <c r="H19" s="348"/>
    </row>
    <row r="20" spans="3:11">
      <c r="C20" s="748" t="s">
        <v>380</v>
      </c>
      <c r="D20" s="748"/>
      <c r="E20" s="748"/>
      <c r="F20" s="748"/>
      <c r="G20" s="748"/>
      <c r="H20" s="748"/>
      <c r="I20" s="748"/>
      <c r="J20" s="3" t="s">
        <v>159</v>
      </c>
    </row>
    <row r="21" spans="3:11">
      <c r="C21" s="748" t="s">
        <v>378</v>
      </c>
      <c r="D21" s="748"/>
      <c r="E21" s="748"/>
      <c r="F21" s="748"/>
      <c r="G21" s="748"/>
      <c r="H21" s="748"/>
      <c r="I21" s="748"/>
    </row>
    <row r="22" spans="3:11">
      <c r="C22" s="748" t="s">
        <v>379</v>
      </c>
      <c r="D22" s="748"/>
      <c r="E22" s="748"/>
      <c r="F22" s="748"/>
      <c r="G22" s="748"/>
      <c r="H22" s="748"/>
      <c r="I22" s="748"/>
    </row>
    <row r="23" spans="3:11">
      <c r="C23" s="644"/>
      <c r="D23" s="644"/>
      <c r="E23" s="644"/>
      <c r="F23" s="644"/>
      <c r="G23" s="644"/>
      <c r="H23" s="644"/>
      <c r="I23" s="644"/>
    </row>
    <row r="24" spans="3:11">
      <c r="C24" s="644"/>
      <c r="D24" s="644"/>
      <c r="E24" s="644"/>
      <c r="F24" s="644"/>
      <c r="G24" s="644"/>
      <c r="H24" s="644"/>
      <c r="I24" s="644"/>
    </row>
    <row r="25" spans="3:11" ht="15">
      <c r="C25" s="814" t="s">
        <v>45</v>
      </c>
      <c r="D25" s="814"/>
      <c r="E25" s="814"/>
      <c r="F25" s="814"/>
      <c r="G25" s="814"/>
      <c r="H25" s="814"/>
      <c r="J25" s="3" t="s">
        <v>159</v>
      </c>
    </row>
    <row r="26" spans="3:11" ht="15">
      <c r="C26" s="814" t="s">
        <v>37</v>
      </c>
      <c r="D26" s="814"/>
      <c r="E26" s="814"/>
      <c r="F26" s="814"/>
      <c r="G26" s="814"/>
      <c r="H26" s="814"/>
    </row>
    <row r="27" spans="3:11" ht="15">
      <c r="C27" s="814" t="s">
        <v>14</v>
      </c>
      <c r="D27" s="814"/>
      <c r="E27" s="814"/>
      <c r="F27" s="814"/>
      <c r="G27" s="814"/>
      <c r="H27" s="814"/>
    </row>
    <row r="28" spans="3:11" ht="15.75" thickBot="1">
      <c r="C28" s="302" t="str">
        <f>+C4</f>
        <v>01 DE JUNIO DE 2020</v>
      </c>
      <c r="D28" s="31"/>
      <c r="E28" s="32"/>
      <c r="F28"/>
    </row>
    <row r="29" spans="3:11" ht="45" customHeight="1" thickTop="1">
      <c r="C29" s="120" t="s">
        <v>15</v>
      </c>
      <c r="D29" s="337" t="str">
        <f>+D5</f>
        <v xml:space="preserve">DIESEL MARINO </v>
      </c>
      <c r="E29" s="337" t="str">
        <f>+E5</f>
        <v>DIESEL MARINO CON CUPO (ART 174 LEY 1607/12)</v>
      </c>
      <c r="F29" s="337" t="str">
        <f>+F5</f>
        <v>DIESEL MARINO CON CUPO (ART 174 LEY 1607/12) CON DESCUENTO****</v>
      </c>
      <c r="G29" s="337" t="s">
        <v>301</v>
      </c>
      <c r="H29" s="337" t="s">
        <v>302</v>
      </c>
      <c r="J29" s="337" t="s">
        <v>660</v>
      </c>
    </row>
    <row r="30" spans="3:11" ht="23.25" customHeight="1">
      <c r="C30" s="339" t="s">
        <v>19</v>
      </c>
      <c r="D30" s="332">
        <f>+'SAN-ANDRES + GENERACION'!E8</f>
        <v>4583.5</v>
      </c>
      <c r="E30" s="332">
        <f>+D30</f>
        <v>4583.5</v>
      </c>
      <c r="F30" s="333">
        <f>+D30*80%</f>
        <v>3666.8</v>
      </c>
      <c r="G30" s="603">
        <v>1903.2</v>
      </c>
      <c r="H30" s="340">
        <v>1280.03</v>
      </c>
      <c r="J30" s="340">
        <f>+(F30*98%)+(BIODIESEL!B7*2%)</f>
        <v>3819.2303999999999</v>
      </c>
      <c r="K30" s="35" t="s">
        <v>159</v>
      </c>
    </row>
    <row r="31" spans="3:11" ht="23.25" customHeight="1">
      <c r="C31" s="342" t="str">
        <f>+C7</f>
        <v>Impuesto Nacional a la Gasolina y al ACPM</v>
      </c>
      <c r="D31" s="335">
        <f>+Variables!C33</f>
        <v>666.38</v>
      </c>
      <c r="E31" s="335">
        <f>D31</f>
        <v>666.38</v>
      </c>
      <c r="F31" s="335">
        <f>E31</f>
        <v>666.38</v>
      </c>
      <c r="G31" s="604">
        <f>+D31</f>
        <v>666.38</v>
      </c>
      <c r="H31" s="341">
        <f>+F31</f>
        <v>666.38</v>
      </c>
      <c r="J31" s="121">
        <f>ROUND(F31*98%,2)</f>
        <v>653.04999999999995</v>
      </c>
    </row>
    <row r="32" spans="3:11" ht="23.25" customHeight="1">
      <c r="C32" s="342" t="str">
        <f t="shared" ref="C32:F33" si="0">+C8</f>
        <v>Impuesto sobre las Ventas</v>
      </c>
      <c r="D32" s="332"/>
      <c r="E32" s="332"/>
      <c r="F32" s="332"/>
      <c r="G32" s="604"/>
      <c r="H32" s="341"/>
      <c r="J32" s="341"/>
    </row>
    <row r="33" spans="1:10" ht="23.25" customHeight="1">
      <c r="C33" s="342" t="str">
        <f t="shared" si="0"/>
        <v>Impuesto al carbono</v>
      </c>
      <c r="D33" s="332">
        <f t="shared" si="0"/>
        <v>174</v>
      </c>
      <c r="E33" s="332">
        <f t="shared" si="0"/>
        <v>174</v>
      </c>
      <c r="F33" s="332">
        <f t="shared" si="0"/>
        <v>174</v>
      </c>
      <c r="G33" s="604"/>
      <c r="H33" s="341"/>
      <c r="J33" s="121">
        <f>ROUND(F33*98%,2)</f>
        <v>170.52</v>
      </c>
    </row>
    <row r="34" spans="1:10" ht="23.25" customHeight="1">
      <c r="C34" s="339" t="s">
        <v>21</v>
      </c>
      <c r="D34" s="335" t="str">
        <f>+D10</f>
        <v>(*)</v>
      </c>
      <c r="E34" s="335" t="str">
        <f>+D34</f>
        <v>(*)</v>
      </c>
      <c r="F34" s="335" t="str">
        <f>+E34</f>
        <v>(*)</v>
      </c>
      <c r="G34" s="605" t="str">
        <f>+F34</f>
        <v>(*)</v>
      </c>
      <c r="H34" s="121" t="str">
        <f>+G34</f>
        <v>(*)</v>
      </c>
      <c r="J34" s="121">
        <f>+I34</f>
        <v>0</v>
      </c>
    </row>
    <row r="35" spans="1:10" ht="23.25" customHeight="1">
      <c r="C35" s="104" t="s">
        <v>239</v>
      </c>
      <c r="D35" s="332">
        <f>+D11</f>
        <v>71.510000000000005</v>
      </c>
      <c r="E35" s="332">
        <f>+E11</f>
        <v>71.510000000000005</v>
      </c>
      <c r="F35" s="332">
        <f>+F11</f>
        <v>71.510000000000005</v>
      </c>
      <c r="G35" s="606">
        <f>+I11</f>
        <v>71.510000000000005</v>
      </c>
      <c r="H35" s="341">
        <f>+J11</f>
        <v>71.510000000000005</v>
      </c>
      <c r="J35" s="341">
        <f>+J11</f>
        <v>71.510000000000005</v>
      </c>
    </row>
    <row r="36" spans="1:10" ht="23.25" customHeight="1">
      <c r="C36" s="349" t="s">
        <v>38</v>
      </c>
      <c r="D36" s="336">
        <f>SUM(D30:D35)</f>
        <v>5495.39</v>
      </c>
      <c r="E36" s="336">
        <f>SUM(E30:E35)</f>
        <v>5495.39</v>
      </c>
      <c r="F36" s="336">
        <f>SUM(F30:F35)</f>
        <v>4578.6900000000005</v>
      </c>
      <c r="G36" s="607">
        <f>SUM(G30:G35)</f>
        <v>2641.09</v>
      </c>
      <c r="H36" s="344">
        <f>SUM(H30:H35)</f>
        <v>2017.9199999999998</v>
      </c>
      <c r="J36" s="344">
        <f>SUM(J30:J35)</f>
        <v>4714.3104000000003</v>
      </c>
    </row>
    <row r="37" spans="1:10" ht="23.25" customHeight="1">
      <c r="C37" s="122" t="s">
        <v>243</v>
      </c>
      <c r="D37" s="102" t="s">
        <v>11</v>
      </c>
      <c r="E37" s="102" t="str">
        <f>+D37</f>
        <v>(*)</v>
      </c>
      <c r="F37" s="102" t="str">
        <f>E37</f>
        <v>(*)</v>
      </c>
      <c r="G37" s="608" t="str">
        <f>+F37</f>
        <v>(*)</v>
      </c>
      <c r="H37" s="103" t="str">
        <f>G37</f>
        <v>(*)</v>
      </c>
      <c r="J37" s="103" t="str">
        <f>+F37</f>
        <v>(*)</v>
      </c>
    </row>
    <row r="38" spans="1:10" ht="23.25" customHeight="1">
      <c r="C38" s="122" t="s">
        <v>245</v>
      </c>
      <c r="D38" s="102" t="s">
        <v>12</v>
      </c>
      <c r="E38" s="102" t="str">
        <f>+D38</f>
        <v>(**)</v>
      </c>
      <c r="F38" s="102" t="str">
        <f>E38</f>
        <v>(**)</v>
      </c>
      <c r="G38" s="608" t="str">
        <f>+F38</f>
        <v>(**)</v>
      </c>
      <c r="H38" s="103" t="str">
        <f>G38</f>
        <v>(**)</v>
      </c>
      <c r="I38" s="35"/>
      <c r="J38" s="103" t="str">
        <f>+F37</f>
        <v>(*)</v>
      </c>
    </row>
    <row r="39" spans="1:10" ht="23.25" customHeight="1">
      <c r="C39" s="343" t="s">
        <v>39</v>
      </c>
      <c r="D39" s="336">
        <f>SUM(D36:D38)</f>
        <v>5495.39</v>
      </c>
      <c r="E39" s="336">
        <f>SUM(E36:E38)</f>
        <v>5495.39</v>
      </c>
      <c r="F39" s="336">
        <f>SUM(F36:F38)</f>
        <v>4578.6900000000005</v>
      </c>
      <c r="G39" s="607">
        <f>SUM(G36:G38)</f>
        <v>2641.09</v>
      </c>
      <c r="H39" s="344">
        <f>SUM(H36:H38)</f>
        <v>2017.9199999999998</v>
      </c>
      <c r="J39" s="344">
        <f>SUM(J36:J38)</f>
        <v>4714.3104000000003</v>
      </c>
    </row>
    <row r="40" spans="1:10" ht="23.25" customHeight="1" thickBot="1">
      <c r="C40" s="345" t="s">
        <v>8</v>
      </c>
      <c r="D40" s="346">
        <f>'COMBUSTIBLES '!E16</f>
        <v>301.48</v>
      </c>
      <c r="E40" s="346"/>
      <c r="F40" s="346"/>
      <c r="G40" s="584"/>
      <c r="H40" s="347"/>
      <c r="J40" s="347"/>
    </row>
    <row r="41" spans="1:10" ht="15" thickTop="1">
      <c r="A41" s="3" t="s">
        <v>159</v>
      </c>
      <c r="C41" s="37" t="s">
        <v>159</v>
      </c>
      <c r="D41" s="38"/>
      <c r="E41" s="38"/>
      <c r="F41" s="83"/>
      <c r="G41" s="83"/>
      <c r="H41" s="83"/>
    </row>
    <row r="42" spans="1:10" ht="14.25" customHeight="1">
      <c r="C42" s="808" t="s">
        <v>260</v>
      </c>
      <c r="D42" s="808"/>
      <c r="E42" s="808"/>
      <c r="F42" s="808"/>
      <c r="G42" s="808"/>
      <c r="H42" s="808"/>
      <c r="I42" s="808"/>
      <c r="J42" s="808"/>
    </row>
    <row r="43" spans="1:10" ht="18" customHeight="1">
      <c r="C43" s="808" t="s">
        <v>244</v>
      </c>
      <c r="D43" s="808"/>
      <c r="E43" s="808"/>
      <c r="F43" s="808"/>
      <c r="G43" s="808"/>
      <c r="H43" s="808"/>
      <c r="I43" s="808"/>
      <c r="J43" s="808"/>
    </row>
    <row r="44" spans="1:10" ht="65.25" customHeight="1">
      <c r="C44" s="772" t="s">
        <v>303</v>
      </c>
      <c r="D44" s="772"/>
      <c r="E44" s="772"/>
      <c r="F44" s="772"/>
      <c r="G44" s="772"/>
      <c r="H44" s="772"/>
      <c r="I44" s="772"/>
      <c r="J44" s="772"/>
    </row>
    <row r="45" spans="1:10" ht="15" customHeight="1">
      <c r="C45" s="765" t="s">
        <v>339</v>
      </c>
      <c r="D45" s="765"/>
      <c r="E45" s="765"/>
      <c r="F45" s="765"/>
      <c r="G45" s="765"/>
      <c r="H45" s="765"/>
    </row>
    <row r="46" spans="1:10" s="15" customFormat="1" ht="13.5" customHeight="1">
      <c r="C46" s="39"/>
      <c r="D46" s="40"/>
      <c r="E46" s="40"/>
    </row>
    <row r="47" spans="1:10" ht="15">
      <c r="C47" s="30" t="s">
        <v>46</v>
      </c>
      <c r="D47" s="31"/>
      <c r="E47" s="32"/>
      <c r="F47" s="33"/>
    </row>
    <row r="48" spans="1:10" ht="15">
      <c r="C48" s="30" t="s">
        <v>40</v>
      </c>
      <c r="D48" s="31"/>
      <c r="E48" s="32"/>
      <c r="F48" s="33"/>
    </row>
    <row r="49" spans="3:10" ht="15">
      <c r="C49" s="30" t="s">
        <v>41</v>
      </c>
      <c r="D49" s="31"/>
      <c r="E49" s="32"/>
      <c r="F49" s="33"/>
    </row>
    <row r="50" spans="3:10" ht="15">
      <c r="C50" s="30" t="s">
        <v>14</v>
      </c>
      <c r="D50" s="31"/>
      <c r="E50" s="32"/>
      <c r="F50" s="33"/>
    </row>
    <row r="51" spans="3:10" ht="15.75" thickBot="1">
      <c r="C51" s="302" t="str">
        <f>+C28</f>
        <v>01 DE JUNIO DE 2020</v>
      </c>
      <c r="D51" s="31"/>
      <c r="E51" s="32"/>
      <c r="F51"/>
    </row>
    <row r="52" spans="3:10" ht="29.25" thickTop="1">
      <c r="C52" s="120" t="s">
        <v>15</v>
      </c>
      <c r="D52" s="337" t="s">
        <v>247</v>
      </c>
      <c r="E52" s="337" t="s">
        <v>265</v>
      </c>
      <c r="F52" s="338" t="s">
        <v>266</v>
      </c>
    </row>
    <row r="53" spans="3:10" ht="26.25" customHeight="1">
      <c r="C53" s="339" t="s">
        <v>248</v>
      </c>
      <c r="D53" s="332">
        <f>+BIODIESEL!E10</f>
        <v>4717.6000000000004</v>
      </c>
      <c r="E53" s="332">
        <f>+D53</f>
        <v>4717.6000000000004</v>
      </c>
      <c r="F53" s="121">
        <f>+BIODIESEL!B7*2%+('COMBUSTIBLES '!E7*50%)*98%</f>
        <v>2471.6813999999999</v>
      </c>
      <c r="G53" s="429"/>
      <c r="J53" s="35"/>
    </row>
    <row r="54" spans="3:10" ht="26.25" customHeight="1">
      <c r="C54" s="339" t="str">
        <f>+C31</f>
        <v>Impuesto Nacional a la Gasolina y al ACPM</v>
      </c>
      <c r="D54" s="335">
        <f>+D7*98%</f>
        <v>512.39300000000003</v>
      </c>
      <c r="E54" s="335">
        <f>+J7</f>
        <v>653.04999999999995</v>
      </c>
      <c r="F54" s="121">
        <f>E54</f>
        <v>653.04999999999995</v>
      </c>
      <c r="G54" s="35"/>
    </row>
    <row r="55" spans="3:10" ht="26.25" customHeight="1">
      <c r="C55" s="339" t="str">
        <f>+C32</f>
        <v>Impuesto sobre las Ventas</v>
      </c>
      <c r="D55" s="476" t="str">
        <f>+'COMBUSTIBLES '!C12</f>
        <v>(3)</v>
      </c>
      <c r="E55" s="476" t="str">
        <f>+D55</f>
        <v>(3)</v>
      </c>
      <c r="F55" s="478" t="str">
        <f>+E55</f>
        <v>(3)</v>
      </c>
      <c r="G55" s="35"/>
    </row>
    <row r="56" spans="3:10" ht="26.25" customHeight="1">
      <c r="C56" s="339" t="str">
        <f>+C33</f>
        <v>Impuesto al carbono</v>
      </c>
      <c r="D56" s="332">
        <f>+D9*98%</f>
        <v>170.52</v>
      </c>
      <c r="E56" s="332">
        <f>+E33*98%</f>
        <v>170.52</v>
      </c>
      <c r="F56" s="341">
        <f>E56</f>
        <v>170.52</v>
      </c>
      <c r="G56" s="35"/>
    </row>
    <row r="57" spans="3:10" ht="26.25" customHeight="1">
      <c r="C57" s="339" t="s">
        <v>246</v>
      </c>
      <c r="D57" s="615" t="s">
        <v>11</v>
      </c>
      <c r="E57" s="102" t="str">
        <f>+D57</f>
        <v>(*)</v>
      </c>
      <c r="F57" s="103" t="str">
        <f>+E57</f>
        <v>(*)</v>
      </c>
    </row>
    <row r="58" spans="3:10" ht="26.25" customHeight="1">
      <c r="C58" s="339" t="s">
        <v>234</v>
      </c>
      <c r="D58" s="460">
        <f>+[9]Tarifas!$K$33</f>
        <v>23.284926973210073</v>
      </c>
      <c r="E58" s="335">
        <f>+D58</f>
        <v>23.284926973210073</v>
      </c>
      <c r="F58" s="121">
        <f>+E58</f>
        <v>23.284926973210073</v>
      </c>
    </row>
    <row r="59" spans="3:10" ht="26.25" customHeight="1">
      <c r="C59" s="104" t="s">
        <v>239</v>
      </c>
      <c r="D59" s="332">
        <f>D35</f>
        <v>71.510000000000005</v>
      </c>
      <c r="E59" s="332">
        <f>E35</f>
        <v>71.510000000000005</v>
      </c>
      <c r="F59" s="341">
        <f>F35</f>
        <v>71.510000000000005</v>
      </c>
    </row>
    <row r="60" spans="3:10" ht="26.25" customHeight="1">
      <c r="C60" s="339" t="s">
        <v>36</v>
      </c>
      <c r="D60" s="350">
        <f>SUM(D53:D59)</f>
        <v>5495.3079269732107</v>
      </c>
      <c r="E60" s="350">
        <f>SUM(E53:E59)</f>
        <v>5635.9649269732108</v>
      </c>
      <c r="F60" s="351">
        <f>SUM(F53:F59)</f>
        <v>3390.0463269732099</v>
      </c>
      <c r="I60" s="35"/>
    </row>
    <row r="61" spans="3:10" ht="36.950000000000003" customHeight="1">
      <c r="C61" s="343" t="s">
        <v>43</v>
      </c>
      <c r="D61" s="352">
        <f>SUM(D60:D60)</f>
        <v>5495.3079269732107</v>
      </c>
      <c r="E61" s="352">
        <f>SUM(E60:E60)</f>
        <v>5635.9649269732108</v>
      </c>
      <c r="F61" s="353">
        <f>SUM(F60:F60)</f>
        <v>3390.0463269732099</v>
      </c>
    </row>
    <row r="62" spans="3:10" ht="36.950000000000003" customHeight="1" thickBot="1">
      <c r="C62" s="345" t="s">
        <v>55</v>
      </c>
      <c r="D62" s="346">
        <f>D40</f>
        <v>301.48</v>
      </c>
      <c r="E62" s="346"/>
      <c r="F62" s="347"/>
    </row>
    <row r="63" spans="3:10" ht="18.75" customHeight="1" thickTop="1">
      <c r="C63" s="809" t="s">
        <v>159</v>
      </c>
      <c r="D63" s="810"/>
      <c r="E63" s="810"/>
      <c r="F63" s="83"/>
    </row>
    <row r="64" spans="3:10" ht="18.75" customHeight="1">
      <c r="C64" s="811" t="s">
        <v>667</v>
      </c>
      <c r="D64" s="811"/>
      <c r="E64" s="811"/>
      <c r="F64" s="811"/>
    </row>
    <row r="65" spans="3:9" ht="18.75" customHeight="1">
      <c r="C65" s="811" t="s">
        <v>371</v>
      </c>
      <c r="D65" s="811"/>
      <c r="E65" s="811"/>
      <c r="F65" s="811"/>
    </row>
    <row r="66" spans="3:9" ht="18.75" customHeight="1">
      <c r="C66" s="645"/>
      <c r="D66" s="645"/>
      <c r="E66" s="645"/>
      <c r="F66" s="645"/>
    </row>
    <row r="67" spans="3:9" ht="40.5" customHeight="1">
      <c r="C67" s="748" t="s">
        <v>656</v>
      </c>
      <c r="D67" s="748"/>
      <c r="E67" s="748"/>
      <c r="F67" s="748"/>
      <c r="G67" s="748"/>
      <c r="H67" s="748"/>
      <c r="I67" s="748"/>
    </row>
    <row r="68" spans="3:9" ht="18.75" hidden="1" customHeight="1">
      <c r="C68" s="300"/>
      <c r="D68" s="300"/>
      <c r="E68" s="300"/>
    </row>
    <row r="69" spans="3:9" ht="33" hidden="1" customHeight="1">
      <c r="C69" s="30" t="s">
        <v>46</v>
      </c>
      <c r="D69" s="31"/>
      <c r="E69" s="32"/>
      <c r="F69" s="33"/>
    </row>
    <row r="70" spans="3:9" ht="15" hidden="1">
      <c r="C70" s="30" t="s">
        <v>44</v>
      </c>
      <c r="D70" s="31"/>
      <c r="E70" s="32"/>
      <c r="F70" s="33"/>
    </row>
    <row r="71" spans="3:9" ht="15" hidden="1">
      <c r="C71" s="30" t="s">
        <v>14</v>
      </c>
      <c r="D71" s="31"/>
      <c r="E71" s="32"/>
      <c r="F71" s="33"/>
    </row>
    <row r="72" spans="3:9" ht="15" hidden="1">
      <c r="C72" s="30" t="str">
        <f>+C51</f>
        <v>01 DE JUNIO DE 2020</v>
      </c>
      <c r="D72" s="31"/>
      <c r="E72" s="32"/>
      <c r="F72"/>
    </row>
    <row r="73" spans="3:9" ht="45" hidden="1" customHeight="1" thickTop="1">
      <c r="C73" s="53" t="s">
        <v>15</v>
      </c>
      <c r="D73" s="301" t="s">
        <v>212</v>
      </c>
      <c r="E73" s="54" t="s">
        <v>213</v>
      </c>
      <c r="F73" s="54" t="s">
        <v>214</v>
      </c>
      <c r="G73"/>
    </row>
    <row r="74" spans="3:9" ht="27.75" hidden="1" customHeight="1">
      <c r="C74" s="308" t="s">
        <v>19</v>
      </c>
      <c r="D74" s="309">
        <f>+D6</f>
        <v>4583.5</v>
      </c>
      <c r="E74" s="310">
        <f>+D74</f>
        <v>4583.5</v>
      </c>
      <c r="F74" s="310">
        <f>+D74*77%</f>
        <v>3529.2950000000001</v>
      </c>
      <c r="G74"/>
    </row>
    <row r="75" spans="3:9" ht="27.75" hidden="1" customHeight="1">
      <c r="C75" s="308" t="s">
        <v>34</v>
      </c>
      <c r="D75" s="309" t="e">
        <f>#REF!</f>
        <v>#REF!</v>
      </c>
      <c r="E75" s="310" t="e">
        <f>D75</f>
        <v>#REF!</v>
      </c>
      <c r="F75" s="310" t="e">
        <f>E75</f>
        <v>#REF!</v>
      </c>
      <c r="G75"/>
    </row>
    <row r="76" spans="3:9" ht="27.75" hidden="1" customHeight="1">
      <c r="C76" s="311" t="s">
        <v>20</v>
      </c>
      <c r="D76" s="309">
        <f>+D7</f>
        <v>522.85</v>
      </c>
      <c r="E76" s="310"/>
      <c r="F76" s="310"/>
      <c r="G76"/>
    </row>
    <row r="77" spans="3:9" ht="27.75" hidden="1" customHeight="1">
      <c r="C77" s="312" t="s">
        <v>57</v>
      </c>
      <c r="D77" s="309">
        <f>+D59</f>
        <v>71.510000000000005</v>
      </c>
      <c r="E77" s="310">
        <f>+E59</f>
        <v>71.510000000000005</v>
      </c>
      <c r="F77" s="310">
        <f>+F59</f>
        <v>71.510000000000005</v>
      </c>
      <c r="G77"/>
    </row>
    <row r="78" spans="3:9" ht="27.75" hidden="1" customHeight="1">
      <c r="C78" s="308" t="s">
        <v>35</v>
      </c>
      <c r="D78" s="313">
        <f>386.04*(1+4.48%)*(1+5.69%)*(1+7.67%)*(1+2%)*(1+3.96%)</f>
        <v>486.69907901536254</v>
      </c>
      <c r="E78" s="314">
        <f>+D78</f>
        <v>486.69907901536254</v>
      </c>
      <c r="F78" s="314">
        <f>E78</f>
        <v>486.69907901536254</v>
      </c>
      <c r="G78"/>
    </row>
    <row r="79" spans="3:9" ht="27.75" hidden="1" customHeight="1">
      <c r="C79" s="308" t="s">
        <v>36</v>
      </c>
      <c r="D79" s="315" t="e">
        <f>SUM(D74:D78)</f>
        <v>#REF!</v>
      </c>
      <c r="E79" s="316" t="e">
        <f>SUM(E74:E78)</f>
        <v>#REF!</v>
      </c>
      <c r="F79" s="316" t="e">
        <f>SUM(F74:F78)</f>
        <v>#REF!</v>
      </c>
      <c r="G79"/>
    </row>
    <row r="80" spans="3:9" ht="36.950000000000003" hidden="1" customHeight="1">
      <c r="C80" s="34" t="s">
        <v>43</v>
      </c>
      <c r="D80" s="41" t="e">
        <f>SUM(D79:D79)</f>
        <v>#REF!</v>
      </c>
      <c r="E80" s="42" t="e">
        <f>SUM(E79:E79)</f>
        <v>#REF!</v>
      </c>
      <c r="F80" s="42" t="e">
        <f>SUM(F79:F79)</f>
        <v>#REF!</v>
      </c>
      <c r="G80"/>
    </row>
    <row r="81" spans="1:7" ht="36.75" hidden="1" customHeight="1" thickBot="1">
      <c r="C81" s="62" t="s">
        <v>32</v>
      </c>
      <c r="D81" s="28">
        <f>D40</f>
        <v>301.48</v>
      </c>
      <c r="E81" s="36"/>
      <c r="F81" s="36"/>
      <c r="G81"/>
    </row>
    <row r="82" spans="1:7" ht="27.75" hidden="1" customHeight="1" thickTop="1">
      <c r="C82" s="812" t="s">
        <v>190</v>
      </c>
      <c r="D82" s="812"/>
      <c r="E82" s="812"/>
    </row>
    <row r="83" spans="1:7" hidden="1">
      <c r="C83" s="37"/>
    </row>
    <row r="84" spans="1:7" hidden="1"/>
    <row r="85" spans="1:7" ht="15" hidden="1">
      <c r="C85" s="43" t="s">
        <v>53</v>
      </c>
      <c r="D85" s="30"/>
      <c r="E85" s="38"/>
    </row>
    <row r="86" spans="1:7" ht="15" hidden="1">
      <c r="C86" s="44" t="s">
        <v>14</v>
      </c>
      <c r="D86" s="44"/>
    </row>
    <row r="87" spans="1:7" ht="15" hidden="1">
      <c r="A87" s="8"/>
      <c r="B87" s="8"/>
      <c r="C87" s="45" t="str">
        <f>C72</f>
        <v>01 DE JUNIO DE 2020</v>
      </c>
      <c r="D87" s="45"/>
    </row>
    <row r="88" spans="1:7" ht="28.5" hidden="1" customHeight="1" thickTop="1">
      <c r="A88" s="46"/>
      <c r="B88" s="46"/>
      <c r="C88" s="53" t="s">
        <v>15</v>
      </c>
      <c r="D88" s="54" t="s">
        <v>54</v>
      </c>
    </row>
    <row r="89" spans="1:7" hidden="1">
      <c r="C89" s="308" t="s">
        <v>19</v>
      </c>
      <c r="D89" s="310">
        <f>+D6</f>
        <v>4583.5</v>
      </c>
    </row>
    <row r="90" spans="1:7" hidden="1">
      <c r="C90" s="308" t="s">
        <v>34</v>
      </c>
      <c r="D90" s="310" t="e">
        <f>#REF!</f>
        <v>#REF!</v>
      </c>
    </row>
    <row r="91" spans="1:7" hidden="1">
      <c r="C91" s="308" t="s">
        <v>20</v>
      </c>
      <c r="D91" s="310">
        <f>D76</f>
        <v>522.85</v>
      </c>
    </row>
    <row r="92" spans="1:7" hidden="1">
      <c r="C92" s="308" t="s">
        <v>42</v>
      </c>
      <c r="D92" s="310" t="str">
        <f>'COMBUSTIBLES '!E15</f>
        <v>(***)</v>
      </c>
    </row>
    <row r="93" spans="1:7" hidden="1">
      <c r="C93" s="308" t="s">
        <v>55</v>
      </c>
      <c r="D93" s="314">
        <f>'COMBUSTIBLES '!E16</f>
        <v>301.48</v>
      </c>
    </row>
    <row r="94" spans="1:7" ht="15.75" hidden="1" thickBot="1">
      <c r="C94" s="47" t="s">
        <v>43</v>
      </c>
      <c r="D94" s="48" t="e">
        <f>SUM(D89:D93)</f>
        <v>#REF!</v>
      </c>
    </row>
    <row r="95" spans="1:7" hidden="1"/>
    <row r="96" spans="1:7" hidden="1"/>
    <row r="97" spans="3:15" ht="40.5" hidden="1" customHeight="1">
      <c r="C97" s="813" t="s">
        <v>58</v>
      </c>
      <c r="D97" s="813"/>
    </row>
    <row r="98" spans="3:15" hidden="1"/>
    <row r="99" spans="3:15" hidden="1"/>
    <row r="100" spans="3:15" hidden="1"/>
    <row r="101" spans="3:15" hidden="1"/>
    <row r="102" spans="3:15" hidden="1"/>
    <row r="103" spans="3:15" hidden="1"/>
    <row r="104" spans="3:15" hidden="1"/>
    <row r="106" spans="3:15" ht="19.5" hidden="1" customHeight="1" outlineLevel="1">
      <c r="C106" s="298" t="s">
        <v>614</v>
      </c>
      <c r="D106" s="298" t="s">
        <v>203</v>
      </c>
      <c r="E106" s="298" t="s">
        <v>204</v>
      </c>
      <c r="F106" s="298" t="s">
        <v>205</v>
      </c>
    </row>
    <row r="107" spans="3:15" ht="19.5" hidden="1" customHeight="1" outlineLevel="1">
      <c r="C107" s="296" t="s">
        <v>206</v>
      </c>
      <c r="D107" s="297">
        <f>+E6</f>
        <v>4583.5</v>
      </c>
      <c r="E107" s="297">
        <f>+F6</f>
        <v>3666.8</v>
      </c>
      <c r="F107" s="502">
        <f t="shared" ref="F107:F111" si="1">+D107-E107</f>
        <v>916.69999999999982</v>
      </c>
      <c r="I107" s="547" t="s">
        <v>628</v>
      </c>
      <c r="J107" s="3" t="s">
        <v>630</v>
      </c>
      <c r="K107" s="638">
        <v>947.19999999999982</v>
      </c>
      <c r="L107" s="35">
        <f>+F107-K107</f>
        <v>-30.5</v>
      </c>
    </row>
    <row r="108" spans="3:15" ht="20.25" hidden="1" customHeight="1" outlineLevel="1">
      <c r="C108" s="296" t="s">
        <v>209</v>
      </c>
      <c r="D108" s="296">
        <f>+BIODIESEL!E10</f>
        <v>4717.6000000000004</v>
      </c>
      <c r="E108" s="297">
        <f>+J6</f>
        <v>3819.2303999999999</v>
      </c>
      <c r="F108" s="502">
        <f t="shared" si="1"/>
        <v>898.36960000000045</v>
      </c>
      <c r="I108" s="547" t="s">
        <v>628</v>
      </c>
      <c r="J108" s="3" t="s">
        <v>693</v>
      </c>
      <c r="K108" s="638">
        <v>928.25280000000021</v>
      </c>
      <c r="L108" s="35">
        <f t="shared" ref="L108:L111" si="2">+F108-K108</f>
        <v>-29.883199999999761</v>
      </c>
    </row>
    <row r="109" spans="3:15" ht="19.5" hidden="1" customHeight="1" outlineLevel="1">
      <c r="C109" s="503" t="s">
        <v>613</v>
      </c>
      <c r="D109" s="504">
        <f>+E6</f>
        <v>4583.5</v>
      </c>
      <c r="E109" s="637">
        <f>+D109*50%</f>
        <v>2291.75</v>
      </c>
      <c r="F109" s="505">
        <f t="shared" si="1"/>
        <v>2291.75</v>
      </c>
      <c r="I109" s="547" t="s">
        <v>628</v>
      </c>
      <c r="J109" s="3" t="s">
        <v>630</v>
      </c>
      <c r="K109" s="638">
        <v>1089.2799999999997</v>
      </c>
      <c r="L109" s="35">
        <f t="shared" si="2"/>
        <v>1202.4700000000003</v>
      </c>
    </row>
    <row r="110" spans="3:15" ht="19.5" hidden="1" customHeight="1" outlineLevel="1">
      <c r="C110" s="503" t="s">
        <v>612</v>
      </c>
      <c r="D110" s="504">
        <f>D53</f>
        <v>4717.6000000000004</v>
      </c>
      <c r="E110" s="504">
        <f>F53</f>
        <v>2471.6813999999999</v>
      </c>
      <c r="F110" s="505">
        <f t="shared" si="1"/>
        <v>2245.9186000000004</v>
      </c>
      <c r="I110" s="547"/>
      <c r="J110" s="3" t="s">
        <v>692</v>
      </c>
      <c r="K110" s="638">
        <v>1067.4911999999999</v>
      </c>
      <c r="L110" s="35">
        <f t="shared" si="2"/>
        <v>1178.4274000000005</v>
      </c>
      <c r="N110" s="3">
        <v>2320.64</v>
      </c>
      <c r="O110" s="35">
        <f>+N110-L110</f>
        <v>1142.2125999999994</v>
      </c>
    </row>
    <row r="111" spans="3:15" hidden="1" outlineLevel="1">
      <c r="C111" s="3" t="s">
        <v>679</v>
      </c>
      <c r="D111" s="618">
        <f>+D30</f>
        <v>4583.5</v>
      </c>
      <c r="E111" s="35">
        <f>+F30</f>
        <v>3666.8</v>
      </c>
      <c r="F111" s="35">
        <f t="shared" si="1"/>
        <v>916.69999999999982</v>
      </c>
      <c r="J111" s="3" t="s">
        <v>630</v>
      </c>
      <c r="K111" s="638">
        <v>947.19999999999982</v>
      </c>
      <c r="L111" s="35">
        <f t="shared" si="2"/>
        <v>-30.5</v>
      </c>
    </row>
    <row r="112" spans="3:15" collapsed="1">
      <c r="K112" s="638"/>
    </row>
    <row r="114" spans="3:7" ht="93.75" customHeight="1">
      <c r="C114" s="749" t="s">
        <v>337</v>
      </c>
      <c r="D114" s="749"/>
      <c r="E114" s="749"/>
      <c r="F114" s="749"/>
      <c r="G114" s="749"/>
    </row>
  </sheetData>
  <mergeCells count="25">
    <mergeCell ref="C16:H16"/>
    <mergeCell ref="C1:H1"/>
    <mergeCell ref="C2:H2"/>
    <mergeCell ref="C3:H3"/>
    <mergeCell ref="F4:G4"/>
    <mergeCell ref="C15:H15"/>
    <mergeCell ref="C45:H45"/>
    <mergeCell ref="C17:H17"/>
    <mergeCell ref="C18:H18"/>
    <mergeCell ref="C20:I20"/>
    <mergeCell ref="C21:I21"/>
    <mergeCell ref="C22:I22"/>
    <mergeCell ref="C25:H25"/>
    <mergeCell ref="C26:H26"/>
    <mergeCell ref="C27:H27"/>
    <mergeCell ref="C42:J42"/>
    <mergeCell ref="C43:J43"/>
    <mergeCell ref="C44:J44"/>
    <mergeCell ref="C114:G114"/>
    <mergeCell ref="C63:E63"/>
    <mergeCell ref="C64:F64"/>
    <mergeCell ref="C65:F65"/>
    <mergeCell ref="C67:I67"/>
    <mergeCell ref="C82:E82"/>
    <mergeCell ref="C97:D97"/>
  </mergeCells>
  <printOptions horizontalCentered="1" verticalCentered="1"/>
  <pageMargins left="0.59055118110236227" right="0.39370078740157483" top="1.1811023622047245" bottom="0.98425196850393704" header="0" footer="0"/>
  <pageSetup scale="90" fitToHeight="3" orientation="landscape" horizontalDpi="1200" verticalDpi="1200" r:id="rId1"/>
  <headerFooter alignWithMargins="0"/>
  <rowBreaks count="2" manualBreakCount="2">
    <brk id="46" min="1" max="8" man="1"/>
    <brk id="68" min="2"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14"/>
  <sheetViews>
    <sheetView zoomScale="70" zoomScaleNormal="70" workbookViewId="0">
      <selection activeCell="L16" sqref="L16"/>
    </sheetView>
  </sheetViews>
  <sheetFormatPr baseColWidth="10" defaultColWidth="9.85546875" defaultRowHeight="14.25" outlineLevelRow="1" outlineLevelCol="2"/>
  <cols>
    <col min="1" max="2" width="9.85546875" style="3" customWidth="1"/>
    <col min="3" max="3" width="46.7109375" style="3" customWidth="1"/>
    <col min="4" max="4" width="33.28515625" style="3" customWidth="1"/>
    <col min="5" max="5" width="27.5703125" style="3" customWidth="1"/>
    <col min="6" max="6" width="34.42578125" style="3" customWidth="1" outlineLevel="1"/>
    <col min="7" max="7" width="28.7109375" style="3" hidden="1" customWidth="1" outlineLevel="2"/>
    <col min="8" max="8" width="31.140625" style="3" hidden="1" customWidth="1" outlineLevel="2"/>
    <col min="9" max="9" width="23.7109375" style="3" hidden="1" customWidth="1" outlineLevel="1" collapsed="1"/>
    <col min="10" max="10" width="32.28515625" style="3" customWidth="1" outlineLevel="1"/>
    <col min="11" max="11" width="11.28515625" style="3" customWidth="1"/>
    <col min="12" max="12" width="10.7109375" style="3" bestFit="1" customWidth="1"/>
    <col min="13" max="16384" width="9.85546875" style="3"/>
  </cols>
  <sheetData>
    <row r="1" spans="3:12" ht="15">
      <c r="C1" s="814" t="s">
        <v>208</v>
      </c>
      <c r="D1" s="814"/>
      <c r="E1" s="814"/>
      <c r="F1" s="814"/>
      <c r="G1" s="814"/>
      <c r="H1" s="814"/>
    </row>
    <row r="2" spans="3:12" ht="15">
      <c r="C2" s="814" t="s">
        <v>33</v>
      </c>
      <c r="D2" s="814"/>
      <c r="E2" s="814"/>
      <c r="F2" s="814"/>
      <c r="G2" s="814"/>
      <c r="H2" s="814"/>
    </row>
    <row r="3" spans="3:12" ht="15">
      <c r="C3" s="814" t="s">
        <v>14</v>
      </c>
      <c r="D3" s="814"/>
      <c r="E3" s="814"/>
      <c r="F3" s="814"/>
      <c r="G3" s="814"/>
      <c r="H3" s="814"/>
    </row>
    <row r="4" spans="3:12" ht="24.75" customHeight="1" thickBot="1">
      <c r="C4" s="302" t="str">
        <f>+'SAN-ANDRES + GENERACION'!C7</f>
        <v>01 DE SEPTIEMBRE 2020</v>
      </c>
      <c r="D4" s="31"/>
      <c r="E4" s="32"/>
      <c r="F4" s="816"/>
      <c r="G4" s="816"/>
      <c r="H4" s="450"/>
      <c r="I4" s="450"/>
    </row>
    <row r="5" spans="3:12" ht="45" customHeight="1" thickTop="1">
      <c r="C5" s="120" t="s">
        <v>15</v>
      </c>
      <c r="D5" s="337" t="s">
        <v>212</v>
      </c>
      <c r="E5" s="337" t="s">
        <v>263</v>
      </c>
      <c r="F5" s="337" t="s">
        <v>338</v>
      </c>
      <c r="I5" s="337" t="s">
        <v>264</v>
      </c>
      <c r="J5" s="338" t="s">
        <v>665</v>
      </c>
    </row>
    <row r="6" spans="3:12" ht="22.5" customHeight="1">
      <c r="C6" s="339" t="s">
        <v>19</v>
      </c>
      <c r="D6" s="332">
        <f>'COMBUSTIBLES '!E7</f>
        <v>4583.5</v>
      </c>
      <c r="E6" s="332">
        <f>+D6</f>
        <v>4583.5</v>
      </c>
      <c r="F6" s="332">
        <f>+E6*80%</f>
        <v>3666.8</v>
      </c>
      <c r="I6" s="332">
        <f>+BIODIESEL!B7*4%+(F6)*96%</f>
        <v>3971.6608000000001</v>
      </c>
      <c r="J6" s="341">
        <f>+BIODIESEL!B7*2%+(F6)*98%</f>
        <v>3819.2303999999999</v>
      </c>
      <c r="L6" s="35"/>
    </row>
    <row r="7" spans="3:12" ht="22.5" customHeight="1">
      <c r="C7" s="342" t="str">
        <f>+'GASOLINA CORRIENTE OXIGENADA'!A11</f>
        <v>Impuesto Nacional a la Gasolina y al ACPM</v>
      </c>
      <c r="D7" s="335">
        <f>Variables!C32</f>
        <v>522.85</v>
      </c>
      <c r="E7" s="335">
        <f>Variables!C33</f>
        <v>666.38</v>
      </c>
      <c r="F7" s="335">
        <f>+E7</f>
        <v>666.38</v>
      </c>
      <c r="G7" s="83"/>
      <c r="H7" s="83"/>
      <c r="I7" s="335">
        <f>ROUND(F7*96%,2)</f>
        <v>639.72</v>
      </c>
      <c r="J7" s="121">
        <f>ROUND(E7*98%,2)</f>
        <v>653.04999999999995</v>
      </c>
    </row>
    <row r="8" spans="3:12" ht="22.5" customHeight="1">
      <c r="C8" s="342" t="str">
        <f>+'GASOLINA CORRIENTE OXIGENADA'!A12</f>
        <v>Impuesto sobre las Ventas</v>
      </c>
      <c r="D8" s="476" t="str">
        <f>'COMBUSTIBLES '!E12</f>
        <v>(3)</v>
      </c>
      <c r="E8" s="476" t="str">
        <f>'COMBUSTIBLES '!E12</f>
        <v>(3)</v>
      </c>
      <c r="F8" s="476" t="str">
        <f>+E8</f>
        <v>(3)</v>
      </c>
      <c r="G8" s="477"/>
      <c r="H8" s="477"/>
      <c r="I8" s="476" t="str">
        <f>+F8</f>
        <v>(3)</v>
      </c>
      <c r="J8" s="478" t="str">
        <f>+I8</f>
        <v>(3)</v>
      </c>
    </row>
    <row r="9" spans="3:12" ht="22.5" customHeight="1">
      <c r="C9" s="342" t="str">
        <f>+'GASOLINA CORRIENTE OXIGENADA'!A13</f>
        <v>Impuesto al carbono</v>
      </c>
      <c r="D9" s="332">
        <f>'COMBUSTIBLES '!E13</f>
        <v>174</v>
      </c>
      <c r="E9" s="332">
        <f>'COMBUSTIBLES '!E13</f>
        <v>174</v>
      </c>
      <c r="F9" s="332">
        <f>'COMBUSTIBLES '!E13</f>
        <v>174</v>
      </c>
      <c r="I9" s="332">
        <f>ROUND(F9*96%,2)</f>
        <v>167.04</v>
      </c>
      <c r="J9" s="341">
        <f>ROUND(E9*98%,2)</f>
        <v>170.52</v>
      </c>
    </row>
    <row r="10" spans="3:12" ht="22.5" customHeight="1">
      <c r="C10" s="339" t="s">
        <v>242</v>
      </c>
      <c r="D10" s="334" t="str">
        <f>+I10</f>
        <v>(*)</v>
      </c>
      <c r="E10" s="334" t="str">
        <f>+D10</f>
        <v>(*)</v>
      </c>
      <c r="F10" s="334" t="str">
        <f>+E10</f>
        <v>(*)</v>
      </c>
      <c r="I10" s="334" t="s">
        <v>11</v>
      </c>
      <c r="J10" s="408" t="str">
        <f>+I10</f>
        <v>(*)</v>
      </c>
    </row>
    <row r="11" spans="3:12" ht="22.5" customHeight="1">
      <c r="C11" s="104" t="s">
        <v>239</v>
      </c>
      <c r="D11" s="335">
        <f>'COMBUSTIBLES '!E10</f>
        <v>71.510000000000005</v>
      </c>
      <c r="E11" s="335">
        <f>+D11</f>
        <v>71.510000000000005</v>
      </c>
      <c r="F11" s="335">
        <f>+E11</f>
        <v>71.510000000000005</v>
      </c>
      <c r="I11" s="335">
        <f>+F11</f>
        <v>71.510000000000005</v>
      </c>
      <c r="J11" s="121">
        <f>+I11</f>
        <v>71.510000000000005</v>
      </c>
    </row>
    <row r="12" spans="3:12" ht="22.5" customHeight="1">
      <c r="C12" s="343" t="s">
        <v>215</v>
      </c>
      <c r="D12" s="336">
        <f>SUM(D6:D11)</f>
        <v>5351.8600000000006</v>
      </c>
      <c r="E12" s="336">
        <f>SUM(E6:E11)</f>
        <v>5495.39</v>
      </c>
      <c r="F12" s="336">
        <f>SUM(F6:F11)</f>
        <v>4578.6900000000005</v>
      </c>
      <c r="I12" s="336">
        <f>SUM(I6:I11)</f>
        <v>4849.9308000000001</v>
      </c>
      <c r="J12" s="344">
        <f>SUM(J6:J11)</f>
        <v>4714.3104000000003</v>
      </c>
    </row>
    <row r="13" spans="3:12" ht="22.5" customHeight="1" thickBot="1">
      <c r="C13" s="345" t="s">
        <v>8</v>
      </c>
      <c r="D13" s="346">
        <f>'COMBUSTIBLES '!E16</f>
        <v>301.48</v>
      </c>
      <c r="E13" s="346"/>
      <c r="F13" s="346"/>
      <c r="I13" s="346"/>
      <c r="J13" s="347"/>
    </row>
    <row r="14" spans="3:12" ht="12" customHeight="1" thickTop="1">
      <c r="C14" s="331"/>
      <c r="D14" s="29"/>
      <c r="E14" s="29"/>
      <c r="F14" s="451"/>
      <c r="G14" s="451"/>
      <c r="H14" s="451"/>
      <c r="I14" s="450"/>
    </row>
    <row r="15" spans="3:12" ht="18.75" customHeight="1">
      <c r="C15" s="817" t="s">
        <v>259</v>
      </c>
      <c r="D15" s="817"/>
      <c r="E15" s="817"/>
      <c r="F15" s="817"/>
      <c r="G15" s="817"/>
      <c r="H15" s="817"/>
    </row>
    <row r="16" spans="3:12" ht="49.5" customHeight="1">
      <c r="C16" s="815" t="s">
        <v>261</v>
      </c>
      <c r="D16" s="815"/>
      <c r="E16" s="815"/>
      <c r="F16" s="815"/>
      <c r="G16" s="815"/>
      <c r="H16" s="815"/>
    </row>
    <row r="17" spans="3:11" ht="34.5" customHeight="1">
      <c r="C17" s="765" t="s">
        <v>297</v>
      </c>
      <c r="D17" s="765"/>
      <c r="E17" s="765"/>
      <c r="F17" s="765"/>
      <c r="G17" s="765"/>
      <c r="H17" s="765"/>
    </row>
    <row r="18" spans="3:11">
      <c r="C18" s="765" t="s">
        <v>339</v>
      </c>
      <c r="D18" s="765"/>
      <c r="E18" s="765"/>
      <c r="F18" s="765"/>
      <c r="G18" s="765"/>
      <c r="H18" s="765"/>
    </row>
    <row r="19" spans="3:11" ht="28.5" customHeight="1">
      <c r="C19" s="348"/>
      <c r="D19" s="348"/>
      <c r="E19" s="348"/>
      <c r="F19" s="348"/>
      <c r="G19" s="348"/>
      <c r="H19" s="348"/>
    </row>
    <row r="20" spans="3:11">
      <c r="C20" s="748" t="s">
        <v>380</v>
      </c>
      <c r="D20" s="748"/>
      <c r="E20" s="748"/>
      <c r="F20" s="748"/>
      <c r="G20" s="748"/>
      <c r="H20" s="748"/>
      <c r="I20" s="748"/>
      <c r="J20" s="3" t="s">
        <v>159</v>
      </c>
    </row>
    <row r="21" spans="3:11">
      <c r="C21" s="748" t="s">
        <v>378</v>
      </c>
      <c r="D21" s="748"/>
      <c r="E21" s="748"/>
      <c r="F21" s="748"/>
      <c r="G21" s="748"/>
      <c r="H21" s="748"/>
      <c r="I21" s="748"/>
    </row>
    <row r="22" spans="3:11">
      <c r="C22" s="748" t="s">
        <v>379</v>
      </c>
      <c r="D22" s="748"/>
      <c r="E22" s="748"/>
      <c r="F22" s="748"/>
      <c r="G22" s="748"/>
      <c r="H22" s="748"/>
      <c r="I22" s="748"/>
    </row>
    <row r="23" spans="3:11">
      <c r="C23" s="639"/>
      <c r="D23" s="639"/>
      <c r="E23" s="639"/>
      <c r="F23" s="639"/>
      <c r="G23" s="639"/>
      <c r="H23" s="639"/>
      <c r="I23" s="639"/>
    </row>
    <row r="24" spans="3:11">
      <c r="C24" s="639"/>
      <c r="D24" s="639"/>
      <c r="E24" s="639"/>
      <c r="F24" s="639"/>
      <c r="G24" s="639"/>
      <c r="H24" s="639"/>
      <c r="I24" s="639"/>
    </row>
    <row r="25" spans="3:11" ht="15">
      <c r="C25" s="814" t="s">
        <v>45</v>
      </c>
      <c r="D25" s="814"/>
      <c r="E25" s="814"/>
      <c r="F25" s="814"/>
      <c r="G25" s="814"/>
      <c r="H25" s="814"/>
      <c r="J25" s="3" t="s">
        <v>159</v>
      </c>
    </row>
    <row r="26" spans="3:11" ht="15">
      <c r="C26" s="814" t="s">
        <v>37</v>
      </c>
      <c r="D26" s="814"/>
      <c r="E26" s="814"/>
      <c r="F26" s="814"/>
      <c r="G26" s="814"/>
      <c r="H26" s="814"/>
    </row>
    <row r="27" spans="3:11" ht="15">
      <c r="C27" s="814" t="s">
        <v>14</v>
      </c>
      <c r="D27" s="814"/>
      <c r="E27" s="814"/>
      <c r="F27" s="814"/>
      <c r="G27" s="814"/>
      <c r="H27" s="814"/>
    </row>
    <row r="28" spans="3:11" ht="15.75" thickBot="1">
      <c r="C28" s="302" t="str">
        <f>+C4</f>
        <v>01 DE SEPTIEMBRE 2020</v>
      </c>
      <c r="D28" s="31"/>
      <c r="E28" s="32"/>
      <c r="F28"/>
    </row>
    <row r="29" spans="3:11" ht="45" customHeight="1" thickTop="1">
      <c r="C29" s="120" t="s">
        <v>15</v>
      </c>
      <c r="D29" s="337" t="str">
        <f>+D5</f>
        <v xml:space="preserve">DIESEL MARINO </v>
      </c>
      <c r="E29" s="337" t="str">
        <f>+E5</f>
        <v>DIESEL MARINO CON CUPO (ART 174 LEY 1607/12)</v>
      </c>
      <c r="F29" s="337" t="str">
        <f>+F5</f>
        <v>DIESEL MARINO CON CUPO (ART 174 LEY 1607/12) CON DESCUENTO****</v>
      </c>
      <c r="G29" s="337" t="s">
        <v>301</v>
      </c>
      <c r="H29" s="337" t="s">
        <v>302</v>
      </c>
      <c r="J29" s="337" t="s">
        <v>660</v>
      </c>
    </row>
    <row r="30" spans="3:11" ht="23.25" customHeight="1">
      <c r="C30" s="339" t="s">
        <v>19</v>
      </c>
      <c r="D30" s="332">
        <f>+'SAN-ANDRES + GENERACION'!E8</f>
        <v>4583.5</v>
      </c>
      <c r="E30" s="332">
        <f>+D30</f>
        <v>4583.5</v>
      </c>
      <c r="F30" s="333">
        <f>+D30*80%</f>
        <v>3666.8</v>
      </c>
      <c r="G30" s="603">
        <v>1903.2</v>
      </c>
      <c r="H30" s="340">
        <v>1280.03</v>
      </c>
      <c r="J30" s="340">
        <f>+(F30*98%)+(BIODIESEL!B7*2%)</f>
        <v>3819.2303999999999</v>
      </c>
      <c r="K30" s="35" t="s">
        <v>159</v>
      </c>
    </row>
    <row r="31" spans="3:11" ht="23.25" customHeight="1">
      <c r="C31" s="342" t="str">
        <f>+C7</f>
        <v>Impuesto Nacional a la Gasolina y al ACPM</v>
      </c>
      <c r="D31" s="335">
        <f>+Variables!C33</f>
        <v>666.38</v>
      </c>
      <c r="E31" s="335">
        <f>D31</f>
        <v>666.38</v>
      </c>
      <c r="F31" s="335">
        <f>E31</f>
        <v>666.38</v>
      </c>
      <c r="G31" s="604">
        <f>+D31</f>
        <v>666.38</v>
      </c>
      <c r="H31" s="341">
        <f>+F31</f>
        <v>666.38</v>
      </c>
      <c r="J31" s="121">
        <f>ROUND(F31*98%,2)</f>
        <v>653.04999999999995</v>
      </c>
    </row>
    <row r="32" spans="3:11" ht="23.25" customHeight="1">
      <c r="C32" s="342" t="str">
        <f t="shared" ref="C32:F33" si="0">+C8</f>
        <v>Impuesto sobre las Ventas</v>
      </c>
      <c r="D32" s="332"/>
      <c r="E32" s="332"/>
      <c r="F32" s="332"/>
      <c r="G32" s="604"/>
      <c r="H32" s="341"/>
      <c r="J32" s="341"/>
    </row>
    <row r="33" spans="1:10" ht="23.25" customHeight="1">
      <c r="C33" s="342" t="str">
        <f t="shared" si="0"/>
        <v>Impuesto al carbono</v>
      </c>
      <c r="D33" s="332">
        <f t="shared" si="0"/>
        <v>174</v>
      </c>
      <c r="E33" s="332">
        <f t="shared" si="0"/>
        <v>174</v>
      </c>
      <c r="F33" s="332">
        <f t="shared" si="0"/>
        <v>174</v>
      </c>
      <c r="G33" s="604"/>
      <c r="H33" s="341"/>
      <c r="J33" s="121">
        <f>ROUND(F33*98%,2)</f>
        <v>170.52</v>
      </c>
    </row>
    <row r="34" spans="1:10" ht="23.25" customHeight="1">
      <c r="C34" s="339" t="s">
        <v>21</v>
      </c>
      <c r="D34" s="335" t="str">
        <f>+D10</f>
        <v>(*)</v>
      </c>
      <c r="E34" s="335" t="str">
        <f>+D34</f>
        <v>(*)</v>
      </c>
      <c r="F34" s="335" t="str">
        <f>+E34</f>
        <v>(*)</v>
      </c>
      <c r="G34" s="605" t="str">
        <f>+F34</f>
        <v>(*)</v>
      </c>
      <c r="H34" s="121" t="str">
        <f>+G34</f>
        <v>(*)</v>
      </c>
      <c r="J34" s="121">
        <f>+I34</f>
        <v>0</v>
      </c>
    </row>
    <row r="35" spans="1:10" ht="23.25" customHeight="1">
      <c r="C35" s="104" t="s">
        <v>239</v>
      </c>
      <c r="D35" s="332">
        <f>+D11</f>
        <v>71.510000000000005</v>
      </c>
      <c r="E35" s="332">
        <f>+E11</f>
        <v>71.510000000000005</v>
      </c>
      <c r="F35" s="332">
        <f>+F11</f>
        <v>71.510000000000005</v>
      </c>
      <c r="G35" s="606">
        <f>+I11</f>
        <v>71.510000000000005</v>
      </c>
      <c r="H35" s="341">
        <f>+J11</f>
        <v>71.510000000000005</v>
      </c>
      <c r="J35" s="341">
        <f>+J11</f>
        <v>71.510000000000005</v>
      </c>
    </row>
    <row r="36" spans="1:10" ht="23.25" customHeight="1">
      <c r="C36" s="349" t="s">
        <v>38</v>
      </c>
      <c r="D36" s="336">
        <f>SUM(D30:D35)</f>
        <v>5495.39</v>
      </c>
      <c r="E36" s="336">
        <f>SUM(E30:E35)</f>
        <v>5495.39</v>
      </c>
      <c r="F36" s="336">
        <f>SUM(F30:F35)</f>
        <v>4578.6900000000005</v>
      </c>
      <c r="G36" s="607">
        <f>SUM(G30:G35)</f>
        <v>2641.09</v>
      </c>
      <c r="H36" s="344">
        <f>SUM(H30:H35)</f>
        <v>2017.9199999999998</v>
      </c>
      <c r="J36" s="344">
        <f>SUM(J30:J35)</f>
        <v>4714.3104000000003</v>
      </c>
    </row>
    <row r="37" spans="1:10" ht="23.25" customHeight="1">
      <c r="C37" s="122" t="s">
        <v>243</v>
      </c>
      <c r="D37" s="102" t="s">
        <v>11</v>
      </c>
      <c r="E37" s="102" t="str">
        <f>+D37</f>
        <v>(*)</v>
      </c>
      <c r="F37" s="102" t="str">
        <f>E37</f>
        <v>(*)</v>
      </c>
      <c r="G37" s="608" t="str">
        <f>+F37</f>
        <v>(*)</v>
      </c>
      <c r="H37" s="103" t="str">
        <f>G37</f>
        <v>(*)</v>
      </c>
      <c r="J37" s="103" t="str">
        <f>+F37</f>
        <v>(*)</v>
      </c>
    </row>
    <row r="38" spans="1:10" ht="23.25" customHeight="1">
      <c r="C38" s="122" t="s">
        <v>245</v>
      </c>
      <c r="D38" s="102" t="s">
        <v>12</v>
      </c>
      <c r="E38" s="102" t="str">
        <f>+D38</f>
        <v>(**)</v>
      </c>
      <c r="F38" s="102" t="str">
        <f>E38</f>
        <v>(**)</v>
      </c>
      <c r="G38" s="608" t="str">
        <f>+F38</f>
        <v>(**)</v>
      </c>
      <c r="H38" s="103" t="str">
        <f>G38</f>
        <v>(**)</v>
      </c>
      <c r="I38" s="35"/>
      <c r="J38" s="103" t="str">
        <f>+F37</f>
        <v>(*)</v>
      </c>
    </row>
    <row r="39" spans="1:10" ht="23.25" customHeight="1">
      <c r="C39" s="343" t="s">
        <v>39</v>
      </c>
      <c r="D39" s="336">
        <f>SUM(D36:D38)</f>
        <v>5495.39</v>
      </c>
      <c r="E39" s="336">
        <f>SUM(E36:E38)</f>
        <v>5495.39</v>
      </c>
      <c r="F39" s="336">
        <f>SUM(F36:F38)</f>
        <v>4578.6900000000005</v>
      </c>
      <c r="G39" s="607">
        <f>SUM(G36:G38)</f>
        <v>2641.09</v>
      </c>
      <c r="H39" s="344">
        <f>SUM(H36:H38)</f>
        <v>2017.9199999999998</v>
      </c>
      <c r="J39" s="344">
        <f>SUM(J36:J38)</f>
        <v>4714.3104000000003</v>
      </c>
    </row>
    <row r="40" spans="1:10" ht="23.25" customHeight="1" thickBot="1">
      <c r="C40" s="345" t="s">
        <v>8</v>
      </c>
      <c r="D40" s="346">
        <f>'COMBUSTIBLES '!E16</f>
        <v>301.48</v>
      </c>
      <c r="E40" s="346"/>
      <c r="F40" s="346"/>
      <c r="G40" s="584"/>
      <c r="H40" s="347"/>
      <c r="J40" s="347"/>
    </row>
    <row r="41" spans="1:10" ht="15" thickTop="1">
      <c r="A41" s="3" t="s">
        <v>159</v>
      </c>
      <c r="C41" s="37" t="s">
        <v>159</v>
      </c>
      <c r="D41" s="38"/>
      <c r="E41" s="38"/>
      <c r="F41" s="83"/>
      <c r="G41" s="83"/>
      <c r="H41" s="83"/>
    </row>
    <row r="42" spans="1:10" ht="14.25" customHeight="1">
      <c r="C42" s="808" t="s">
        <v>260</v>
      </c>
      <c r="D42" s="808"/>
      <c r="E42" s="808"/>
      <c r="F42" s="808"/>
      <c r="G42" s="808"/>
      <c r="H42" s="808"/>
      <c r="I42" s="808"/>
      <c r="J42" s="808"/>
    </row>
    <row r="43" spans="1:10" ht="18" customHeight="1">
      <c r="C43" s="808" t="s">
        <v>244</v>
      </c>
      <c r="D43" s="808"/>
      <c r="E43" s="808"/>
      <c r="F43" s="808"/>
      <c r="G43" s="808"/>
      <c r="H43" s="808"/>
      <c r="I43" s="808"/>
      <c r="J43" s="808"/>
    </row>
    <row r="44" spans="1:10" ht="65.25" customHeight="1">
      <c r="C44" s="772" t="s">
        <v>303</v>
      </c>
      <c r="D44" s="772"/>
      <c r="E44" s="772"/>
      <c r="F44" s="772"/>
      <c r="G44" s="772"/>
      <c r="H44" s="772"/>
      <c r="I44" s="772"/>
      <c r="J44" s="772"/>
    </row>
    <row r="45" spans="1:10" ht="15" customHeight="1">
      <c r="C45" s="765" t="s">
        <v>339</v>
      </c>
      <c r="D45" s="765"/>
      <c r="E45" s="765"/>
      <c r="F45" s="765"/>
      <c r="G45" s="765"/>
      <c r="H45" s="765"/>
    </row>
    <row r="46" spans="1:10" s="15" customFormat="1" ht="13.5" customHeight="1">
      <c r="C46" s="39"/>
      <c r="D46" s="40"/>
      <c r="E46" s="40"/>
    </row>
    <row r="47" spans="1:10" ht="15">
      <c r="C47" s="30" t="s">
        <v>46</v>
      </c>
      <c r="D47" s="31"/>
      <c r="E47" s="32"/>
      <c r="F47" s="33"/>
    </row>
    <row r="48" spans="1:10" ht="15">
      <c r="C48" s="30" t="s">
        <v>40</v>
      </c>
      <c r="D48" s="31"/>
      <c r="E48" s="32"/>
      <c r="F48" s="33"/>
    </row>
    <row r="49" spans="3:10" ht="15">
      <c r="C49" s="30" t="s">
        <v>41</v>
      </c>
      <c r="D49" s="31"/>
      <c r="E49" s="32"/>
      <c r="F49" s="33"/>
    </row>
    <row r="50" spans="3:10" ht="15">
      <c r="C50" s="30" t="s">
        <v>14</v>
      </c>
      <c r="D50" s="31"/>
      <c r="E50" s="32"/>
      <c r="F50" s="33"/>
    </row>
    <row r="51" spans="3:10" ht="15.75" thickBot="1">
      <c r="C51" s="302" t="str">
        <f>+C28</f>
        <v>01 DE SEPTIEMBRE 2020</v>
      </c>
      <c r="D51" s="31"/>
      <c r="E51" s="32"/>
      <c r="F51"/>
    </row>
    <row r="52" spans="3:10" ht="29.25" thickTop="1">
      <c r="C52" s="120" t="s">
        <v>15</v>
      </c>
      <c r="D52" s="337" t="s">
        <v>247</v>
      </c>
      <c r="E52" s="337" t="s">
        <v>265</v>
      </c>
      <c r="F52" s="338" t="s">
        <v>266</v>
      </c>
    </row>
    <row r="53" spans="3:10" ht="26.25" customHeight="1">
      <c r="C53" s="339" t="s">
        <v>248</v>
      </c>
      <c r="D53" s="332">
        <f>+BIODIESEL!E10</f>
        <v>4717.6000000000004</v>
      </c>
      <c r="E53" s="332">
        <f>+D53</f>
        <v>4717.6000000000004</v>
      </c>
      <c r="F53" s="121">
        <f>+BIODIESEL!B7*2%+('COMBUSTIBLES '!E7*77%)*98%</f>
        <v>3684.4755</v>
      </c>
      <c r="G53" s="429"/>
      <c r="J53" s="35"/>
    </row>
    <row r="54" spans="3:10" ht="26.25" customHeight="1">
      <c r="C54" s="339" t="str">
        <f>+C31</f>
        <v>Impuesto Nacional a la Gasolina y al ACPM</v>
      </c>
      <c r="D54" s="335">
        <f>+D7*98%</f>
        <v>512.39300000000003</v>
      </c>
      <c r="E54" s="335">
        <f>+J7</f>
        <v>653.04999999999995</v>
      </c>
      <c r="F54" s="121">
        <f>E54</f>
        <v>653.04999999999995</v>
      </c>
      <c r="G54" s="35"/>
    </row>
    <row r="55" spans="3:10" ht="26.25" customHeight="1">
      <c r="C55" s="339" t="str">
        <f>+C32</f>
        <v>Impuesto sobre las Ventas</v>
      </c>
      <c r="D55" s="476" t="str">
        <f>+'COMBUSTIBLES '!C12</f>
        <v>(3)</v>
      </c>
      <c r="E55" s="476" t="str">
        <f>+D55</f>
        <v>(3)</v>
      </c>
      <c r="F55" s="478" t="str">
        <f>+E55</f>
        <v>(3)</v>
      </c>
      <c r="G55" s="35"/>
    </row>
    <row r="56" spans="3:10" ht="26.25" customHeight="1">
      <c r="C56" s="339" t="str">
        <f>+C33</f>
        <v>Impuesto al carbono</v>
      </c>
      <c r="D56" s="332">
        <f>+D9*98%</f>
        <v>170.52</v>
      </c>
      <c r="E56" s="332">
        <f>+E33*98%</f>
        <v>170.52</v>
      </c>
      <c r="F56" s="341">
        <f>E56</f>
        <v>170.52</v>
      </c>
      <c r="G56" s="35"/>
    </row>
    <row r="57" spans="3:10" ht="26.25" customHeight="1">
      <c r="C57" s="339" t="s">
        <v>246</v>
      </c>
      <c r="D57" s="615" t="s">
        <v>11</v>
      </c>
      <c r="E57" s="102" t="str">
        <f>+D57</f>
        <v>(*)</v>
      </c>
      <c r="F57" s="103" t="str">
        <f>+E57</f>
        <v>(*)</v>
      </c>
    </row>
    <row r="58" spans="3:10" ht="26.25" customHeight="1">
      <c r="C58" s="339" t="s">
        <v>234</v>
      </c>
      <c r="D58" s="460">
        <f>+[9]Tarifas!$K$33</f>
        <v>23.284926973210073</v>
      </c>
      <c r="E58" s="335">
        <f>+D58</f>
        <v>23.284926973210073</v>
      </c>
      <c r="F58" s="121">
        <f>+E58</f>
        <v>23.284926973210073</v>
      </c>
    </row>
    <row r="59" spans="3:10" ht="26.25" customHeight="1">
      <c r="C59" s="104" t="s">
        <v>239</v>
      </c>
      <c r="D59" s="332">
        <f>D35</f>
        <v>71.510000000000005</v>
      </c>
      <c r="E59" s="332">
        <f>E35</f>
        <v>71.510000000000005</v>
      </c>
      <c r="F59" s="341">
        <f>F35</f>
        <v>71.510000000000005</v>
      </c>
    </row>
    <row r="60" spans="3:10" ht="26.25" customHeight="1">
      <c r="C60" s="339" t="s">
        <v>36</v>
      </c>
      <c r="D60" s="350">
        <f>SUM(D53:D59)</f>
        <v>5495.3079269732107</v>
      </c>
      <c r="E60" s="350">
        <f>SUM(E53:E59)</f>
        <v>5635.9649269732108</v>
      </c>
      <c r="F60" s="351">
        <f>SUM(F53:F59)</f>
        <v>4602.84042697321</v>
      </c>
      <c r="I60" s="35"/>
    </row>
    <row r="61" spans="3:10" ht="36.950000000000003" customHeight="1">
      <c r="C61" s="343" t="s">
        <v>43</v>
      </c>
      <c r="D61" s="352">
        <f>SUM(D60:D60)</f>
        <v>5495.3079269732107</v>
      </c>
      <c r="E61" s="352">
        <f>SUM(E60:E60)</f>
        <v>5635.9649269732108</v>
      </c>
      <c r="F61" s="353">
        <f>SUM(F60:F60)</f>
        <v>4602.84042697321</v>
      </c>
    </row>
    <row r="62" spans="3:10" ht="36.950000000000003" customHeight="1" thickBot="1">
      <c r="C62" s="345" t="s">
        <v>55</v>
      </c>
      <c r="D62" s="346">
        <f>D40</f>
        <v>301.48</v>
      </c>
      <c r="E62" s="346"/>
      <c r="F62" s="347"/>
    </row>
    <row r="63" spans="3:10" ht="18.75" customHeight="1" thickTop="1">
      <c r="C63" s="809" t="s">
        <v>159</v>
      </c>
      <c r="D63" s="810"/>
      <c r="E63" s="810"/>
      <c r="F63" s="83"/>
    </row>
    <row r="64" spans="3:10" ht="18.75" customHeight="1">
      <c r="C64" s="811" t="s">
        <v>667</v>
      </c>
      <c r="D64" s="811"/>
      <c r="E64" s="811"/>
      <c r="F64" s="811"/>
    </row>
    <row r="65" spans="3:9" ht="18.75" customHeight="1">
      <c r="C65" s="811" t="s">
        <v>371</v>
      </c>
      <c r="D65" s="811"/>
      <c r="E65" s="811"/>
      <c r="F65" s="811"/>
    </row>
    <row r="66" spans="3:9" ht="18.75" customHeight="1">
      <c r="C66" s="640"/>
      <c r="D66" s="640"/>
      <c r="E66" s="640"/>
      <c r="F66" s="640"/>
    </row>
    <row r="67" spans="3:9" ht="40.5" customHeight="1">
      <c r="C67" s="748" t="s">
        <v>656</v>
      </c>
      <c r="D67" s="748"/>
      <c r="E67" s="748"/>
      <c r="F67" s="748"/>
      <c r="G67" s="748"/>
      <c r="H67" s="748"/>
      <c r="I67" s="748"/>
    </row>
    <row r="68" spans="3:9" ht="18.75" hidden="1" customHeight="1">
      <c r="C68" s="300"/>
      <c r="D68" s="300"/>
      <c r="E68" s="300"/>
    </row>
    <row r="69" spans="3:9" ht="33" hidden="1" customHeight="1">
      <c r="C69" s="30" t="s">
        <v>46</v>
      </c>
      <c r="D69" s="31"/>
      <c r="E69" s="32"/>
      <c r="F69" s="33"/>
    </row>
    <row r="70" spans="3:9" ht="15" hidden="1">
      <c r="C70" s="30" t="s">
        <v>44</v>
      </c>
      <c r="D70" s="31"/>
      <c r="E70" s="32"/>
      <c r="F70" s="33"/>
    </row>
    <row r="71" spans="3:9" ht="15" hidden="1">
      <c r="C71" s="30" t="s">
        <v>14</v>
      </c>
      <c r="D71" s="31"/>
      <c r="E71" s="32"/>
      <c r="F71" s="33"/>
    </row>
    <row r="72" spans="3:9" ht="15" hidden="1">
      <c r="C72" s="30" t="str">
        <f>+C51</f>
        <v>01 DE SEPTIEMBRE 2020</v>
      </c>
      <c r="D72" s="31"/>
      <c r="E72" s="32"/>
      <c r="F72"/>
    </row>
    <row r="73" spans="3:9" ht="45" hidden="1" customHeight="1" thickTop="1">
      <c r="C73" s="53" t="s">
        <v>15</v>
      </c>
      <c r="D73" s="301" t="s">
        <v>212</v>
      </c>
      <c r="E73" s="54" t="s">
        <v>213</v>
      </c>
      <c r="F73" s="54" t="s">
        <v>214</v>
      </c>
      <c r="G73"/>
    </row>
    <row r="74" spans="3:9" ht="27.75" hidden="1" customHeight="1">
      <c r="C74" s="308" t="s">
        <v>19</v>
      </c>
      <c r="D74" s="309">
        <f>+D6</f>
        <v>4583.5</v>
      </c>
      <c r="E74" s="310">
        <f>+D74</f>
        <v>4583.5</v>
      </c>
      <c r="F74" s="310">
        <f>+D74*77%</f>
        <v>3529.2950000000001</v>
      </c>
      <c r="G74"/>
    </row>
    <row r="75" spans="3:9" ht="27.75" hidden="1" customHeight="1">
      <c r="C75" s="308" t="s">
        <v>34</v>
      </c>
      <c r="D75" s="309" t="e">
        <f>#REF!</f>
        <v>#REF!</v>
      </c>
      <c r="E75" s="310" t="e">
        <f>D75</f>
        <v>#REF!</v>
      </c>
      <c r="F75" s="310" t="e">
        <f>E75</f>
        <v>#REF!</v>
      </c>
      <c r="G75"/>
    </row>
    <row r="76" spans="3:9" ht="27.75" hidden="1" customHeight="1">
      <c r="C76" s="311" t="s">
        <v>20</v>
      </c>
      <c r="D76" s="309">
        <f>+D7</f>
        <v>522.85</v>
      </c>
      <c r="E76" s="310"/>
      <c r="F76" s="310"/>
      <c r="G76"/>
    </row>
    <row r="77" spans="3:9" ht="27.75" hidden="1" customHeight="1">
      <c r="C77" s="312" t="s">
        <v>57</v>
      </c>
      <c r="D77" s="309">
        <f>+D59</f>
        <v>71.510000000000005</v>
      </c>
      <c r="E77" s="310">
        <f>+E59</f>
        <v>71.510000000000005</v>
      </c>
      <c r="F77" s="310">
        <f>+F59</f>
        <v>71.510000000000005</v>
      </c>
      <c r="G77"/>
    </row>
    <row r="78" spans="3:9" ht="27.75" hidden="1" customHeight="1">
      <c r="C78" s="308" t="s">
        <v>35</v>
      </c>
      <c r="D78" s="313">
        <f>386.04*(1+4.48%)*(1+5.69%)*(1+7.67%)*(1+2%)*(1+3.96%)</f>
        <v>486.69907901536254</v>
      </c>
      <c r="E78" s="314">
        <f>+D78</f>
        <v>486.69907901536254</v>
      </c>
      <c r="F78" s="314">
        <f>E78</f>
        <v>486.69907901536254</v>
      </c>
      <c r="G78"/>
    </row>
    <row r="79" spans="3:9" ht="27.75" hidden="1" customHeight="1">
      <c r="C79" s="308" t="s">
        <v>36</v>
      </c>
      <c r="D79" s="315" t="e">
        <f>SUM(D74:D78)</f>
        <v>#REF!</v>
      </c>
      <c r="E79" s="316" t="e">
        <f>SUM(E74:E78)</f>
        <v>#REF!</v>
      </c>
      <c r="F79" s="316" t="e">
        <f>SUM(F74:F78)</f>
        <v>#REF!</v>
      </c>
      <c r="G79"/>
    </row>
    <row r="80" spans="3:9" ht="36.950000000000003" hidden="1" customHeight="1">
      <c r="C80" s="34" t="s">
        <v>43</v>
      </c>
      <c r="D80" s="41" t="e">
        <f>SUM(D79:D79)</f>
        <v>#REF!</v>
      </c>
      <c r="E80" s="42" t="e">
        <f>SUM(E79:E79)</f>
        <v>#REF!</v>
      </c>
      <c r="F80" s="42" t="e">
        <f>SUM(F79:F79)</f>
        <v>#REF!</v>
      </c>
      <c r="G80"/>
    </row>
    <row r="81" spans="1:7" ht="36.75" hidden="1" customHeight="1" thickBot="1">
      <c r="C81" s="62" t="s">
        <v>32</v>
      </c>
      <c r="D81" s="28">
        <f>D40</f>
        <v>301.48</v>
      </c>
      <c r="E81" s="36"/>
      <c r="F81" s="36"/>
      <c r="G81"/>
    </row>
    <row r="82" spans="1:7" ht="27.75" hidden="1" customHeight="1" thickTop="1">
      <c r="C82" s="812" t="s">
        <v>190</v>
      </c>
      <c r="D82" s="812"/>
      <c r="E82" s="812"/>
    </row>
    <row r="83" spans="1:7" hidden="1">
      <c r="C83" s="37"/>
    </row>
    <row r="84" spans="1:7" hidden="1"/>
    <row r="85" spans="1:7" ht="15" hidden="1">
      <c r="C85" s="43" t="s">
        <v>53</v>
      </c>
      <c r="D85" s="30"/>
      <c r="E85" s="38"/>
    </row>
    <row r="86" spans="1:7" ht="15" hidden="1">
      <c r="C86" s="44" t="s">
        <v>14</v>
      </c>
      <c r="D86" s="44"/>
    </row>
    <row r="87" spans="1:7" ht="15" hidden="1">
      <c r="A87" s="8"/>
      <c r="B87" s="8"/>
      <c r="C87" s="45" t="str">
        <f>C72</f>
        <v>01 DE SEPTIEMBRE 2020</v>
      </c>
      <c r="D87" s="45"/>
    </row>
    <row r="88" spans="1:7" ht="28.5" hidden="1" customHeight="1" thickTop="1">
      <c r="A88" s="46"/>
      <c r="B88" s="46"/>
      <c r="C88" s="53" t="s">
        <v>15</v>
      </c>
      <c r="D88" s="54" t="s">
        <v>54</v>
      </c>
    </row>
    <row r="89" spans="1:7" hidden="1">
      <c r="C89" s="308" t="s">
        <v>19</v>
      </c>
      <c r="D89" s="310">
        <f>+D6</f>
        <v>4583.5</v>
      </c>
    </row>
    <row r="90" spans="1:7" hidden="1">
      <c r="C90" s="308" t="s">
        <v>34</v>
      </c>
      <c r="D90" s="310" t="e">
        <f>#REF!</f>
        <v>#REF!</v>
      </c>
    </row>
    <row r="91" spans="1:7" hidden="1">
      <c r="C91" s="308" t="s">
        <v>20</v>
      </c>
      <c r="D91" s="310">
        <f>D76</f>
        <v>522.85</v>
      </c>
    </row>
    <row r="92" spans="1:7" hidden="1">
      <c r="C92" s="308" t="s">
        <v>42</v>
      </c>
      <c r="D92" s="310" t="str">
        <f>'COMBUSTIBLES '!E15</f>
        <v>(***)</v>
      </c>
    </row>
    <row r="93" spans="1:7" hidden="1">
      <c r="C93" s="308" t="s">
        <v>55</v>
      </c>
      <c r="D93" s="314">
        <f>'COMBUSTIBLES '!E16</f>
        <v>301.48</v>
      </c>
    </row>
    <row r="94" spans="1:7" ht="15.75" hidden="1" thickBot="1">
      <c r="C94" s="47" t="s">
        <v>43</v>
      </c>
      <c r="D94" s="48" t="e">
        <f>SUM(D89:D93)</f>
        <v>#REF!</v>
      </c>
    </row>
    <row r="95" spans="1:7" hidden="1"/>
    <row r="96" spans="1:7" hidden="1"/>
    <row r="97" spans="3:15" ht="40.5" hidden="1" customHeight="1">
      <c r="C97" s="813" t="s">
        <v>58</v>
      </c>
      <c r="D97" s="813"/>
    </row>
    <row r="98" spans="3:15" hidden="1"/>
    <row r="99" spans="3:15" hidden="1"/>
    <row r="100" spans="3:15" hidden="1"/>
    <row r="101" spans="3:15" hidden="1"/>
    <row r="102" spans="3:15" hidden="1"/>
    <row r="103" spans="3:15" hidden="1"/>
    <row r="104" spans="3:15" hidden="1"/>
    <row r="106" spans="3:15" ht="19.5" hidden="1" customHeight="1" outlineLevel="1">
      <c r="C106" s="298" t="s">
        <v>614</v>
      </c>
      <c r="D106" s="298" t="s">
        <v>203</v>
      </c>
      <c r="E106" s="298" t="s">
        <v>204</v>
      </c>
      <c r="F106" s="298" t="s">
        <v>205</v>
      </c>
    </row>
    <row r="107" spans="3:15" ht="19.5" hidden="1" customHeight="1" outlineLevel="1">
      <c r="C107" s="296" t="s">
        <v>206</v>
      </c>
      <c r="D107" s="297">
        <f>+E6</f>
        <v>4583.5</v>
      </c>
      <c r="E107" s="297">
        <f>+F6</f>
        <v>3666.8</v>
      </c>
      <c r="F107" s="502">
        <f t="shared" ref="F107:F111" si="1">+D107-E107</f>
        <v>916.69999999999982</v>
      </c>
      <c r="I107" s="547" t="s">
        <v>628</v>
      </c>
      <c r="J107" s="3" t="s">
        <v>630</v>
      </c>
      <c r="K107" s="638">
        <v>947.19999999999982</v>
      </c>
      <c r="L107" s="35">
        <f>+F107-K107</f>
        <v>-30.5</v>
      </c>
    </row>
    <row r="108" spans="3:15" ht="20.25" hidden="1" customHeight="1" outlineLevel="1">
      <c r="C108" s="296" t="s">
        <v>209</v>
      </c>
      <c r="D108" s="296">
        <f>+BIODIESEL!E10</f>
        <v>4717.6000000000004</v>
      </c>
      <c r="E108" s="297">
        <f>+J6</f>
        <v>3819.2303999999999</v>
      </c>
      <c r="F108" s="502">
        <f t="shared" si="1"/>
        <v>898.36960000000045</v>
      </c>
      <c r="I108" s="547" t="s">
        <v>628</v>
      </c>
      <c r="J108" s="3" t="s">
        <v>693</v>
      </c>
      <c r="K108" s="638">
        <v>928.25280000000021</v>
      </c>
      <c r="L108" s="35">
        <f t="shared" ref="L108:L111" si="2">+F108-K108</f>
        <v>-29.883199999999761</v>
      </c>
    </row>
    <row r="109" spans="3:15" ht="19.5" hidden="1" customHeight="1" outlineLevel="1">
      <c r="C109" s="503" t="s">
        <v>613</v>
      </c>
      <c r="D109" s="504">
        <f>+E6</f>
        <v>4583.5</v>
      </c>
      <c r="E109" s="297">
        <f>+D109*77%</f>
        <v>3529.2950000000001</v>
      </c>
      <c r="F109" s="505">
        <f t="shared" si="1"/>
        <v>1054.2049999999999</v>
      </c>
      <c r="I109" s="547" t="s">
        <v>628</v>
      </c>
      <c r="J109" s="3" t="s">
        <v>630</v>
      </c>
      <c r="K109" s="638">
        <v>1089.2799999999997</v>
      </c>
      <c r="L109" s="35">
        <f t="shared" si="2"/>
        <v>-35.074999999999818</v>
      </c>
    </row>
    <row r="110" spans="3:15" ht="19.5" hidden="1" customHeight="1" outlineLevel="1">
      <c r="C110" s="503" t="s">
        <v>612</v>
      </c>
      <c r="D110" s="504">
        <f>D53</f>
        <v>4717.6000000000004</v>
      </c>
      <c r="E110" s="504">
        <f>F53</f>
        <v>3684.4755</v>
      </c>
      <c r="F110" s="505">
        <f t="shared" si="1"/>
        <v>1033.1245000000004</v>
      </c>
      <c r="I110" s="547"/>
      <c r="J110" s="3" t="s">
        <v>692</v>
      </c>
      <c r="K110" s="638">
        <v>1067.4911999999999</v>
      </c>
      <c r="L110" s="35">
        <f t="shared" si="2"/>
        <v>-34.366699999999582</v>
      </c>
      <c r="O110" s="35"/>
    </row>
    <row r="111" spans="3:15" hidden="1" outlineLevel="1">
      <c r="C111" s="3" t="s">
        <v>679</v>
      </c>
      <c r="D111" s="618">
        <f>+D30</f>
        <v>4583.5</v>
      </c>
      <c r="E111" s="35">
        <f>+F30</f>
        <v>3666.8</v>
      </c>
      <c r="F111" s="35">
        <f t="shared" si="1"/>
        <v>916.69999999999982</v>
      </c>
      <c r="J111" s="3" t="s">
        <v>630</v>
      </c>
      <c r="K111" s="638">
        <v>947.19999999999982</v>
      </c>
      <c r="L111" s="35">
        <f t="shared" si="2"/>
        <v>-30.5</v>
      </c>
    </row>
    <row r="112" spans="3:15" collapsed="1">
      <c r="K112" s="638"/>
    </row>
    <row r="114" spans="3:7" ht="93.75" customHeight="1">
      <c r="C114" s="749" t="s">
        <v>337</v>
      </c>
      <c r="D114" s="749"/>
      <c r="E114" s="749"/>
      <c r="F114" s="749"/>
      <c r="G114" s="749"/>
    </row>
  </sheetData>
  <sheetProtection password="C752" sheet="1" objects="1" scenarios="1"/>
  <mergeCells count="25">
    <mergeCell ref="C16:H16"/>
    <mergeCell ref="C1:H1"/>
    <mergeCell ref="C2:H2"/>
    <mergeCell ref="C3:H3"/>
    <mergeCell ref="F4:G4"/>
    <mergeCell ref="C15:H15"/>
    <mergeCell ref="C45:H45"/>
    <mergeCell ref="C17:H17"/>
    <mergeCell ref="C18:H18"/>
    <mergeCell ref="C20:I20"/>
    <mergeCell ref="C21:I21"/>
    <mergeCell ref="C22:I22"/>
    <mergeCell ref="C25:H25"/>
    <mergeCell ref="C26:H26"/>
    <mergeCell ref="C27:H27"/>
    <mergeCell ref="C42:J42"/>
    <mergeCell ref="C43:J43"/>
    <mergeCell ref="C44:J44"/>
    <mergeCell ref="C114:G114"/>
    <mergeCell ref="C63:E63"/>
    <mergeCell ref="C64:F64"/>
    <mergeCell ref="C65:F65"/>
    <mergeCell ref="C67:I67"/>
    <mergeCell ref="C82:E82"/>
    <mergeCell ref="C97:D97"/>
  </mergeCells>
  <printOptions horizontalCentered="1" verticalCentered="1"/>
  <pageMargins left="0.59055118110236227" right="0.39370078740157483" top="1.1811023622047245" bottom="0.98425196850393704" header="0" footer="0"/>
  <pageSetup scale="90" fitToHeight="3" orientation="landscape" horizontalDpi="1200" verticalDpi="1200" r:id="rId1"/>
  <headerFooter alignWithMargins="0"/>
  <rowBreaks count="2" manualBreakCount="2">
    <brk id="46" min="1" max="8" man="1"/>
    <brk id="68" min="2" max="6"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4"/>
  <sheetViews>
    <sheetView topLeftCell="A16" zoomScale="70" zoomScaleNormal="70" workbookViewId="0">
      <selection activeCell="J52" sqref="J52"/>
    </sheetView>
  </sheetViews>
  <sheetFormatPr baseColWidth="10" defaultColWidth="9.85546875" defaultRowHeight="14.25" outlineLevelRow="1" outlineLevelCol="2"/>
  <cols>
    <col min="1" max="2" width="9.85546875" style="3" customWidth="1"/>
    <col min="3" max="3" width="46.7109375" style="3" customWidth="1"/>
    <col min="4" max="4" width="33.28515625" style="3" customWidth="1"/>
    <col min="5" max="5" width="27.5703125" style="3" customWidth="1"/>
    <col min="6" max="6" width="34.42578125" style="3" customWidth="1" outlineLevel="1"/>
    <col min="7" max="7" width="28.7109375" style="3" hidden="1" customWidth="1" outlineLevel="2"/>
    <col min="8" max="8" width="31.140625" style="3" hidden="1" customWidth="1" outlineLevel="2"/>
    <col min="9" max="9" width="23.7109375" style="3" hidden="1" customWidth="1" outlineLevel="1" collapsed="1"/>
    <col min="10" max="10" width="32.28515625" style="3" customWidth="1" outlineLevel="1"/>
    <col min="11" max="11" width="14" style="3" customWidth="1"/>
    <col min="12" max="12" width="10.7109375" style="3" bestFit="1" customWidth="1"/>
    <col min="13" max="16384" width="9.85546875" style="3"/>
  </cols>
  <sheetData>
    <row r="1" spans="3:12" ht="15">
      <c r="C1" s="814" t="s">
        <v>208</v>
      </c>
      <c r="D1" s="814"/>
      <c r="E1" s="814"/>
      <c r="F1" s="814"/>
      <c r="G1" s="814"/>
      <c r="H1" s="814"/>
    </row>
    <row r="2" spans="3:12" ht="15">
      <c r="C2" s="814" t="s">
        <v>33</v>
      </c>
      <c r="D2" s="814"/>
      <c r="E2" s="814"/>
      <c r="F2" s="814"/>
      <c r="G2" s="814"/>
      <c r="H2" s="814"/>
    </row>
    <row r="3" spans="3:12" ht="15">
      <c r="C3" s="814" t="s">
        <v>14</v>
      </c>
      <c r="D3" s="814"/>
      <c r="E3" s="814"/>
      <c r="F3" s="814"/>
      <c r="G3" s="814"/>
      <c r="H3" s="814"/>
    </row>
    <row r="4" spans="3:12" ht="24.75" customHeight="1" thickBot="1">
      <c r="C4" s="302" t="str">
        <f>+'COMBUSTIBLES '!A1</f>
        <v>01 DE SEPTIEMBRE 2020</v>
      </c>
      <c r="D4" s="31"/>
      <c r="E4" s="32"/>
      <c r="F4" s="816"/>
      <c r="G4" s="816"/>
      <c r="H4" s="450"/>
      <c r="I4" s="450"/>
    </row>
    <row r="5" spans="3:12" ht="45" customHeight="1" thickTop="1">
      <c r="C5" s="120" t="s">
        <v>15</v>
      </c>
      <c r="D5" s="337" t="s">
        <v>212</v>
      </c>
      <c r="E5" s="337" t="s">
        <v>263</v>
      </c>
      <c r="F5" s="337" t="s">
        <v>338</v>
      </c>
      <c r="I5" s="337" t="s">
        <v>264</v>
      </c>
      <c r="J5" s="338" t="s">
        <v>665</v>
      </c>
    </row>
    <row r="6" spans="3:12" ht="22.5" customHeight="1">
      <c r="C6" s="339" t="s">
        <v>19</v>
      </c>
      <c r="D6" s="332">
        <f>'COMBUSTIBLES '!E7</f>
        <v>4583.5</v>
      </c>
      <c r="E6" s="332">
        <f>+D6</f>
        <v>4583.5</v>
      </c>
      <c r="F6" s="332">
        <f>+E6*80%</f>
        <v>3666.8</v>
      </c>
      <c r="I6" s="332">
        <f>+BIODIESEL!B7*4%+(F6)*96%</f>
        <v>3971.6608000000001</v>
      </c>
      <c r="J6" s="341">
        <f>+BIODIESEL!B7*2%+(F6)*98%</f>
        <v>3819.2303999999999</v>
      </c>
      <c r="L6" s="35"/>
    </row>
    <row r="7" spans="3:12" ht="22.5" customHeight="1">
      <c r="C7" s="342" t="str">
        <f>+'GASOLINA CORRIENTE OXIGENADA'!A11</f>
        <v>Impuesto Nacional a la Gasolina y al ACPM</v>
      </c>
      <c r="D7" s="335">
        <f>Variables!C32</f>
        <v>522.85</v>
      </c>
      <c r="E7" s="335">
        <f>Variables!C33</f>
        <v>666.38</v>
      </c>
      <c r="F7" s="335">
        <f>+E7</f>
        <v>666.38</v>
      </c>
      <c r="G7" s="83"/>
      <c r="H7" s="83"/>
      <c r="I7" s="335">
        <f>ROUND(F7*96%,2)</f>
        <v>639.72</v>
      </c>
      <c r="J7" s="121">
        <f>ROUND(E7*98%,2)</f>
        <v>653.04999999999995</v>
      </c>
    </row>
    <row r="8" spans="3:12" ht="22.5" customHeight="1">
      <c r="C8" s="342" t="str">
        <f>+'GASOLINA CORRIENTE OXIGENADA'!A12</f>
        <v>Impuesto sobre las Ventas</v>
      </c>
      <c r="D8" s="476" t="str">
        <f>'COMBUSTIBLES '!E12</f>
        <v>(3)</v>
      </c>
      <c r="E8" s="476" t="str">
        <f>'COMBUSTIBLES '!E12</f>
        <v>(3)</v>
      </c>
      <c r="F8" s="476" t="str">
        <f>+E8</f>
        <v>(3)</v>
      </c>
      <c r="G8" s="477"/>
      <c r="H8" s="477"/>
      <c r="I8" s="476" t="str">
        <f>+F8</f>
        <v>(3)</v>
      </c>
      <c r="J8" s="478" t="str">
        <f>+I8</f>
        <v>(3)</v>
      </c>
    </row>
    <row r="9" spans="3:12" ht="22.5" customHeight="1">
      <c r="C9" s="342" t="str">
        <f>+'GASOLINA CORRIENTE OXIGENADA'!A13</f>
        <v>Impuesto al carbono</v>
      </c>
      <c r="D9" s="332">
        <f>'COMBUSTIBLES '!E13</f>
        <v>174</v>
      </c>
      <c r="E9" s="332">
        <f>'COMBUSTIBLES '!E13</f>
        <v>174</v>
      </c>
      <c r="F9" s="332">
        <f>'COMBUSTIBLES '!E13</f>
        <v>174</v>
      </c>
      <c r="I9" s="332">
        <f>ROUND(F9*96%,2)</f>
        <v>167.04</v>
      </c>
      <c r="J9" s="341">
        <f>ROUND(E9*98%,2)</f>
        <v>170.52</v>
      </c>
    </row>
    <row r="10" spans="3:12" ht="22.5" customHeight="1">
      <c r="C10" s="339" t="s">
        <v>242</v>
      </c>
      <c r="D10" s="334" t="str">
        <f>+I10</f>
        <v>(*)</v>
      </c>
      <c r="E10" s="334" t="str">
        <f>+D10</f>
        <v>(*)</v>
      </c>
      <c r="F10" s="334" t="str">
        <f>+E10</f>
        <v>(*)</v>
      </c>
      <c r="I10" s="334" t="s">
        <v>11</v>
      </c>
      <c r="J10" s="408" t="str">
        <f>+I10</f>
        <v>(*)</v>
      </c>
    </row>
    <row r="11" spans="3:12" ht="22.5" customHeight="1">
      <c r="C11" s="104" t="s">
        <v>239</v>
      </c>
      <c r="D11" s="335">
        <f>'COMBUSTIBLES '!E10</f>
        <v>71.510000000000005</v>
      </c>
      <c r="E11" s="335">
        <f>+D11</f>
        <v>71.510000000000005</v>
      </c>
      <c r="F11" s="335">
        <f>+E11</f>
        <v>71.510000000000005</v>
      </c>
      <c r="I11" s="335">
        <f>+F11</f>
        <v>71.510000000000005</v>
      </c>
      <c r="J11" s="121">
        <f>+I11</f>
        <v>71.510000000000005</v>
      </c>
    </row>
    <row r="12" spans="3:12" ht="22.5" customHeight="1">
      <c r="C12" s="343" t="s">
        <v>215</v>
      </c>
      <c r="D12" s="336">
        <f>SUM(D6:D11)</f>
        <v>5351.8600000000006</v>
      </c>
      <c r="E12" s="336">
        <f>SUM(E6:E11)</f>
        <v>5495.39</v>
      </c>
      <c r="F12" s="336">
        <f>SUM(F6:F11)</f>
        <v>4578.6900000000005</v>
      </c>
      <c r="I12" s="336">
        <f>SUM(I6:I11)</f>
        <v>4849.9308000000001</v>
      </c>
      <c r="J12" s="344">
        <f>SUM(J6:J11)</f>
        <v>4714.3104000000003</v>
      </c>
    </row>
    <row r="13" spans="3:12" ht="22.5" customHeight="1" thickBot="1">
      <c r="C13" s="345" t="s">
        <v>8</v>
      </c>
      <c r="D13" s="346">
        <f>'COMBUSTIBLES '!E16</f>
        <v>301.48</v>
      </c>
      <c r="E13" s="346"/>
      <c r="F13" s="346"/>
      <c r="I13" s="346"/>
      <c r="J13" s="347"/>
    </row>
    <row r="14" spans="3:12" ht="12" customHeight="1" thickTop="1">
      <c r="C14" s="331"/>
      <c r="D14" s="29"/>
      <c r="E14" s="29"/>
      <c r="F14" s="451"/>
      <c r="G14" s="451"/>
      <c r="H14" s="451"/>
      <c r="I14" s="450"/>
    </row>
    <row r="15" spans="3:12" ht="18.75" customHeight="1">
      <c r="C15" s="817" t="s">
        <v>259</v>
      </c>
      <c r="D15" s="817"/>
      <c r="E15" s="817"/>
      <c r="F15" s="817"/>
      <c r="G15" s="817"/>
      <c r="H15" s="817"/>
    </row>
    <row r="16" spans="3:12" ht="49.5" customHeight="1">
      <c r="C16" s="815" t="s">
        <v>261</v>
      </c>
      <c r="D16" s="815"/>
      <c r="E16" s="815"/>
      <c r="F16" s="815"/>
      <c r="G16" s="815"/>
      <c r="H16" s="815"/>
    </row>
    <row r="17" spans="3:11" ht="34.5" customHeight="1">
      <c r="C17" s="765" t="s">
        <v>297</v>
      </c>
      <c r="D17" s="765"/>
      <c r="E17" s="765"/>
      <c r="F17" s="765"/>
      <c r="G17" s="765"/>
      <c r="H17" s="765"/>
    </row>
    <row r="18" spans="3:11">
      <c r="C18" s="765" t="s">
        <v>339</v>
      </c>
      <c r="D18" s="765"/>
      <c r="E18" s="765"/>
      <c r="F18" s="765"/>
      <c r="G18" s="765"/>
      <c r="H18" s="765"/>
    </row>
    <row r="19" spans="3:11" ht="28.5" customHeight="1">
      <c r="C19" s="348"/>
      <c r="D19" s="348"/>
      <c r="E19" s="348"/>
      <c r="F19" s="348"/>
      <c r="G19" s="348"/>
      <c r="H19" s="348"/>
    </row>
    <row r="20" spans="3:11">
      <c r="C20" s="748" t="s">
        <v>380</v>
      </c>
      <c r="D20" s="748"/>
      <c r="E20" s="748"/>
      <c r="F20" s="748"/>
      <c r="G20" s="748"/>
      <c r="H20" s="748"/>
      <c r="I20" s="748"/>
      <c r="J20" s="3" t="s">
        <v>159</v>
      </c>
    </row>
    <row r="21" spans="3:11">
      <c r="C21" s="748" t="s">
        <v>378</v>
      </c>
      <c r="D21" s="748"/>
      <c r="E21" s="748"/>
      <c r="F21" s="748"/>
      <c r="G21" s="748"/>
      <c r="H21" s="748"/>
      <c r="I21" s="748"/>
    </row>
    <row r="22" spans="3:11">
      <c r="C22" s="748" t="s">
        <v>379</v>
      </c>
      <c r="D22" s="748"/>
      <c r="E22" s="748"/>
      <c r="F22" s="748"/>
      <c r="G22" s="748"/>
      <c r="H22" s="748"/>
      <c r="I22" s="748"/>
    </row>
    <row r="23" spans="3:11">
      <c r="C23" s="652"/>
      <c r="D23" s="652"/>
      <c r="E23" s="652"/>
      <c r="F23" s="652"/>
      <c r="G23" s="652"/>
      <c r="H23" s="652"/>
      <c r="I23" s="652"/>
    </row>
    <row r="24" spans="3:11">
      <c r="C24" s="652"/>
      <c r="D24" s="652"/>
      <c r="E24" s="652"/>
      <c r="F24" s="652"/>
      <c r="G24" s="652"/>
      <c r="H24" s="652"/>
      <c r="I24" s="652"/>
    </row>
    <row r="25" spans="3:11" ht="15">
      <c r="C25" s="814" t="s">
        <v>45</v>
      </c>
      <c r="D25" s="814"/>
      <c r="E25" s="814"/>
      <c r="F25" s="814"/>
      <c r="G25" s="814"/>
      <c r="H25" s="814"/>
      <c r="J25" s="3" t="s">
        <v>159</v>
      </c>
    </row>
    <row r="26" spans="3:11" ht="15">
      <c r="C26" s="814" t="s">
        <v>37</v>
      </c>
      <c r="D26" s="814"/>
      <c r="E26" s="814"/>
      <c r="F26" s="814"/>
      <c r="G26" s="814"/>
      <c r="H26" s="814"/>
    </row>
    <row r="27" spans="3:11" ht="15">
      <c r="C27" s="814" t="s">
        <v>14</v>
      </c>
      <c r="D27" s="814"/>
      <c r="E27" s="814"/>
      <c r="F27" s="814"/>
      <c r="G27" s="814"/>
      <c r="H27" s="814"/>
    </row>
    <row r="28" spans="3:11" ht="15.75" thickBot="1">
      <c r="C28" s="302" t="str">
        <f>+C4</f>
        <v>01 DE SEPTIEMBRE 2020</v>
      </c>
      <c r="D28" s="31"/>
      <c r="E28" s="32"/>
      <c r="F28"/>
    </row>
    <row r="29" spans="3:11" ht="45" customHeight="1" thickTop="1">
      <c r="C29" s="120" t="s">
        <v>15</v>
      </c>
      <c r="D29" s="337" t="str">
        <f>+D5</f>
        <v xml:space="preserve">DIESEL MARINO </v>
      </c>
      <c r="E29" s="337" t="str">
        <f>+E5</f>
        <v>DIESEL MARINO CON CUPO (ART 174 LEY 1607/12)</v>
      </c>
      <c r="F29" s="337" t="str">
        <f>+F5</f>
        <v>DIESEL MARINO CON CUPO (ART 174 LEY 1607/12) CON DESCUENTO****</v>
      </c>
      <c r="G29" s="337" t="s">
        <v>301</v>
      </c>
      <c r="H29" s="337" t="s">
        <v>302</v>
      </c>
      <c r="J29" s="337" t="s">
        <v>660</v>
      </c>
    </row>
    <row r="30" spans="3:11" ht="23.25" customHeight="1">
      <c r="C30" s="339" t="s">
        <v>19</v>
      </c>
      <c r="D30" s="332">
        <f>+'SAN-ANDRES + GENERACION'!E8</f>
        <v>4583.5</v>
      </c>
      <c r="E30" s="332">
        <f>+D30</f>
        <v>4583.5</v>
      </c>
      <c r="F30" s="333">
        <f>+D30*80%</f>
        <v>3666.8</v>
      </c>
      <c r="G30" s="603">
        <v>1903.2</v>
      </c>
      <c r="H30" s="340">
        <v>1280.03</v>
      </c>
      <c r="J30" s="340">
        <f>+(F30*98%)+(BIODIESEL!B7*2%)</f>
        <v>3819.2303999999999</v>
      </c>
      <c r="K30" s="35" t="s">
        <v>159</v>
      </c>
    </row>
    <row r="31" spans="3:11" ht="23.25" customHeight="1">
      <c r="C31" s="342" t="str">
        <f>+C7</f>
        <v>Impuesto Nacional a la Gasolina y al ACPM</v>
      </c>
      <c r="D31" s="335">
        <f>+Variables!C33</f>
        <v>666.38</v>
      </c>
      <c r="E31" s="335">
        <f>D31</f>
        <v>666.38</v>
      </c>
      <c r="F31" s="335">
        <f>E31</f>
        <v>666.38</v>
      </c>
      <c r="G31" s="604">
        <f>+D31</f>
        <v>666.38</v>
      </c>
      <c r="H31" s="341">
        <f>+F31</f>
        <v>666.38</v>
      </c>
      <c r="J31" s="121">
        <f>ROUND(F31*98%,2)</f>
        <v>653.04999999999995</v>
      </c>
    </row>
    <row r="32" spans="3:11" ht="23.25" customHeight="1">
      <c r="C32" s="342" t="str">
        <f t="shared" ref="C32:F33" si="0">+C8</f>
        <v>Impuesto sobre las Ventas</v>
      </c>
      <c r="D32" s="332"/>
      <c r="E32" s="332"/>
      <c r="F32" s="332"/>
      <c r="G32" s="604"/>
      <c r="H32" s="341"/>
      <c r="J32" s="341"/>
    </row>
    <row r="33" spans="1:10" ht="23.25" customHeight="1">
      <c r="C33" s="342" t="str">
        <f t="shared" si="0"/>
        <v>Impuesto al carbono</v>
      </c>
      <c r="D33" s="332">
        <f t="shared" si="0"/>
        <v>174</v>
      </c>
      <c r="E33" s="332">
        <f t="shared" si="0"/>
        <v>174</v>
      </c>
      <c r="F33" s="332">
        <f t="shared" si="0"/>
        <v>174</v>
      </c>
      <c r="G33" s="604"/>
      <c r="H33" s="341"/>
      <c r="J33" s="121">
        <f>ROUND(F33*98%,2)</f>
        <v>170.52</v>
      </c>
    </row>
    <row r="34" spans="1:10" ht="23.25" customHeight="1">
      <c r="C34" s="339" t="s">
        <v>21</v>
      </c>
      <c r="D34" s="335" t="str">
        <f>+D10</f>
        <v>(*)</v>
      </c>
      <c r="E34" s="335" t="str">
        <f>+D34</f>
        <v>(*)</v>
      </c>
      <c r="F34" s="335" t="str">
        <f>+E34</f>
        <v>(*)</v>
      </c>
      <c r="G34" s="605" t="str">
        <f>+F34</f>
        <v>(*)</v>
      </c>
      <c r="H34" s="121" t="str">
        <f>+G34</f>
        <v>(*)</v>
      </c>
      <c r="J34" s="121">
        <f>+I34</f>
        <v>0</v>
      </c>
    </row>
    <row r="35" spans="1:10" ht="23.25" customHeight="1">
      <c r="C35" s="104" t="s">
        <v>239</v>
      </c>
      <c r="D35" s="332">
        <f>+D11</f>
        <v>71.510000000000005</v>
      </c>
      <c r="E35" s="332">
        <f>+E11</f>
        <v>71.510000000000005</v>
      </c>
      <c r="F35" s="332">
        <f>+F11</f>
        <v>71.510000000000005</v>
      </c>
      <c r="G35" s="606">
        <f>+I11</f>
        <v>71.510000000000005</v>
      </c>
      <c r="H35" s="341">
        <f>+J11</f>
        <v>71.510000000000005</v>
      </c>
      <c r="J35" s="341">
        <f>+J11</f>
        <v>71.510000000000005</v>
      </c>
    </row>
    <row r="36" spans="1:10" ht="23.25" customHeight="1">
      <c r="C36" s="349" t="s">
        <v>38</v>
      </c>
      <c r="D36" s="336">
        <f>SUM(D30:D35)</f>
        <v>5495.39</v>
      </c>
      <c r="E36" s="336">
        <f>SUM(E30:E35)</f>
        <v>5495.39</v>
      </c>
      <c r="F36" s="336">
        <f>SUM(F30:F35)</f>
        <v>4578.6900000000005</v>
      </c>
      <c r="G36" s="607">
        <f>SUM(G30:G35)</f>
        <v>2641.09</v>
      </c>
      <c r="H36" s="344">
        <f>SUM(H30:H35)</f>
        <v>2017.9199999999998</v>
      </c>
      <c r="J36" s="344">
        <f>SUM(J30:J35)</f>
        <v>4714.3104000000003</v>
      </c>
    </row>
    <row r="37" spans="1:10" ht="23.25" customHeight="1">
      <c r="C37" s="122" t="s">
        <v>243</v>
      </c>
      <c r="D37" s="102" t="s">
        <v>11</v>
      </c>
      <c r="E37" s="102" t="str">
        <f>+D37</f>
        <v>(*)</v>
      </c>
      <c r="F37" s="102" t="str">
        <f>E37</f>
        <v>(*)</v>
      </c>
      <c r="G37" s="608" t="str">
        <f>+F37</f>
        <v>(*)</v>
      </c>
      <c r="H37" s="103" t="str">
        <f>G37</f>
        <v>(*)</v>
      </c>
      <c r="J37" s="103" t="str">
        <f>+F37</f>
        <v>(*)</v>
      </c>
    </row>
    <row r="38" spans="1:10" ht="23.25" customHeight="1">
      <c r="C38" s="122" t="s">
        <v>245</v>
      </c>
      <c r="D38" s="102" t="s">
        <v>12</v>
      </c>
      <c r="E38" s="102" t="str">
        <f>+D38</f>
        <v>(**)</v>
      </c>
      <c r="F38" s="102" t="str">
        <f>E38</f>
        <v>(**)</v>
      </c>
      <c r="G38" s="608" t="str">
        <f>+F38</f>
        <v>(**)</v>
      </c>
      <c r="H38" s="103" t="str">
        <f>G38</f>
        <v>(**)</v>
      </c>
      <c r="I38" s="35"/>
      <c r="J38" s="103" t="str">
        <f>+F37</f>
        <v>(*)</v>
      </c>
    </row>
    <row r="39" spans="1:10" ht="23.25" customHeight="1">
      <c r="C39" s="343" t="s">
        <v>39</v>
      </c>
      <c r="D39" s="336">
        <f>SUM(D36:D38)</f>
        <v>5495.39</v>
      </c>
      <c r="E39" s="336">
        <f>SUM(E36:E38)</f>
        <v>5495.39</v>
      </c>
      <c r="F39" s="336">
        <f>SUM(F36:F38)</f>
        <v>4578.6900000000005</v>
      </c>
      <c r="G39" s="607">
        <f>SUM(G36:G38)</f>
        <v>2641.09</v>
      </c>
      <c r="H39" s="344">
        <f>SUM(H36:H38)</f>
        <v>2017.9199999999998</v>
      </c>
      <c r="J39" s="344">
        <f>SUM(J36:J38)</f>
        <v>4714.3104000000003</v>
      </c>
    </row>
    <row r="40" spans="1:10" ht="23.25" customHeight="1" thickBot="1">
      <c r="C40" s="345" t="s">
        <v>8</v>
      </c>
      <c r="D40" s="346">
        <f>'COMBUSTIBLES '!E16</f>
        <v>301.48</v>
      </c>
      <c r="E40" s="346"/>
      <c r="F40" s="346"/>
      <c r="G40" s="584"/>
      <c r="H40" s="347"/>
      <c r="J40" s="347"/>
    </row>
    <row r="41" spans="1:10" ht="15" thickTop="1">
      <c r="A41" s="3" t="s">
        <v>159</v>
      </c>
      <c r="C41" s="37" t="s">
        <v>159</v>
      </c>
      <c r="D41" s="38"/>
      <c r="E41" s="38"/>
      <c r="F41" s="83"/>
      <c r="G41" s="83"/>
      <c r="H41" s="83"/>
    </row>
    <row r="42" spans="1:10" ht="14.25" customHeight="1">
      <c r="C42" s="808" t="s">
        <v>260</v>
      </c>
      <c r="D42" s="808"/>
      <c r="E42" s="808"/>
      <c r="F42" s="808"/>
      <c r="G42" s="808"/>
      <c r="H42" s="808"/>
      <c r="I42" s="808"/>
      <c r="J42" s="808"/>
    </row>
    <row r="43" spans="1:10" ht="18" customHeight="1">
      <c r="C43" s="808" t="s">
        <v>244</v>
      </c>
      <c r="D43" s="808"/>
      <c r="E43" s="808"/>
      <c r="F43" s="808"/>
      <c r="G43" s="808"/>
      <c r="H43" s="808"/>
      <c r="I43" s="808"/>
      <c r="J43" s="808"/>
    </row>
    <row r="44" spans="1:10" ht="65.25" customHeight="1">
      <c r="C44" s="772" t="s">
        <v>303</v>
      </c>
      <c r="D44" s="772"/>
      <c r="E44" s="772"/>
      <c r="F44" s="772"/>
      <c r="G44" s="772"/>
      <c r="H44" s="772"/>
      <c r="I44" s="772"/>
      <c r="J44" s="772"/>
    </row>
    <row r="45" spans="1:10" ht="15" customHeight="1">
      <c r="C45" s="765" t="s">
        <v>339</v>
      </c>
      <c r="D45" s="765"/>
      <c r="E45" s="765"/>
      <c r="F45" s="765"/>
      <c r="G45" s="765"/>
      <c r="H45" s="765"/>
    </row>
    <row r="46" spans="1:10" s="15" customFormat="1" ht="13.5" customHeight="1">
      <c r="C46" s="39"/>
      <c r="D46" s="40"/>
      <c r="E46" s="40"/>
    </row>
    <row r="47" spans="1:10" ht="15">
      <c r="C47" s="30" t="s">
        <v>46</v>
      </c>
      <c r="D47" s="31"/>
      <c r="E47" s="32"/>
      <c r="F47" s="33"/>
    </row>
    <row r="48" spans="1:10" ht="15">
      <c r="C48" s="30" t="s">
        <v>40</v>
      </c>
      <c r="D48" s="31"/>
      <c r="E48" s="32"/>
      <c r="F48" s="33"/>
    </row>
    <row r="49" spans="3:10" ht="15">
      <c r="C49" s="30" t="s">
        <v>41</v>
      </c>
      <c r="D49" s="31"/>
      <c r="E49" s="32"/>
      <c r="F49" s="33"/>
    </row>
    <row r="50" spans="3:10" ht="15">
      <c r="C50" s="30" t="s">
        <v>14</v>
      </c>
      <c r="D50" s="31"/>
      <c r="E50" s="32"/>
      <c r="F50" s="33"/>
    </row>
    <row r="51" spans="3:10" ht="15.75" thickBot="1">
      <c r="C51" s="302" t="str">
        <f>+C28</f>
        <v>01 DE SEPTIEMBRE 2020</v>
      </c>
      <c r="D51" s="31"/>
      <c r="E51" s="32"/>
      <c r="F51"/>
    </row>
    <row r="52" spans="3:10" ht="29.25" thickTop="1">
      <c r="C52" s="120" t="s">
        <v>15</v>
      </c>
      <c r="D52" s="337" t="s">
        <v>247</v>
      </c>
      <c r="E52" s="337" t="s">
        <v>265</v>
      </c>
      <c r="F52" s="338" t="s">
        <v>266</v>
      </c>
    </row>
    <row r="53" spans="3:10" ht="26.25" customHeight="1">
      <c r="C53" s="339" t="s">
        <v>248</v>
      </c>
      <c r="D53" s="332">
        <f>+BIODIESEL!E10</f>
        <v>4717.6000000000004</v>
      </c>
      <c r="E53" s="332">
        <f>+D53</f>
        <v>4717.6000000000004</v>
      </c>
      <c r="F53" s="121">
        <f>+BIODIESEL!B7*2%+('COMBUSTIBLES '!E7*50%)*98%</f>
        <v>2471.6813999999999</v>
      </c>
      <c r="G53" s="429"/>
      <c r="J53" s="35"/>
    </row>
    <row r="54" spans="3:10" ht="26.25" customHeight="1">
      <c r="C54" s="339" t="str">
        <f>+C31</f>
        <v>Impuesto Nacional a la Gasolina y al ACPM</v>
      </c>
      <c r="D54" s="335">
        <f>+D7*98%</f>
        <v>512.39300000000003</v>
      </c>
      <c r="E54" s="335">
        <f>+J7</f>
        <v>653.04999999999995</v>
      </c>
      <c r="F54" s="121">
        <f>E54</f>
        <v>653.04999999999995</v>
      </c>
      <c r="G54" s="35"/>
    </row>
    <row r="55" spans="3:10" ht="26.25" customHeight="1">
      <c r="C55" s="339" t="str">
        <f>+C32</f>
        <v>Impuesto sobre las Ventas</v>
      </c>
      <c r="D55" s="476" t="str">
        <f>+'COMBUSTIBLES '!C12</f>
        <v>(3)</v>
      </c>
      <c r="E55" s="476" t="str">
        <f>+D55</f>
        <v>(3)</v>
      </c>
      <c r="F55" s="478" t="str">
        <f>+E55</f>
        <v>(3)</v>
      </c>
      <c r="G55" s="35"/>
    </row>
    <row r="56" spans="3:10" ht="26.25" customHeight="1">
      <c r="C56" s="339" t="str">
        <f>+C33</f>
        <v>Impuesto al carbono</v>
      </c>
      <c r="D56" s="332">
        <f>+D9*98%</f>
        <v>170.52</v>
      </c>
      <c r="E56" s="332">
        <f>+E33*98%</f>
        <v>170.52</v>
      </c>
      <c r="F56" s="341">
        <f>E56</f>
        <v>170.52</v>
      </c>
      <c r="G56" s="35"/>
    </row>
    <row r="57" spans="3:10" ht="26.25" customHeight="1">
      <c r="C57" s="339" t="s">
        <v>246</v>
      </c>
      <c r="D57" s="615" t="s">
        <v>11</v>
      </c>
      <c r="E57" s="102" t="str">
        <f>+D57</f>
        <v>(*)</v>
      </c>
      <c r="F57" s="103" t="str">
        <f>+E57</f>
        <v>(*)</v>
      </c>
    </row>
    <row r="58" spans="3:10" ht="26.25" customHeight="1">
      <c r="C58" s="339" t="s">
        <v>234</v>
      </c>
      <c r="D58" s="460">
        <f>+[9]Tarifas!$K$33</f>
        <v>23.284926973210073</v>
      </c>
      <c r="E58" s="335">
        <f>+D58</f>
        <v>23.284926973210073</v>
      </c>
      <c r="F58" s="121">
        <f>+E58</f>
        <v>23.284926973210073</v>
      </c>
    </row>
    <row r="59" spans="3:10" ht="26.25" customHeight="1">
      <c r="C59" s="104" t="s">
        <v>239</v>
      </c>
      <c r="D59" s="332">
        <f>D35</f>
        <v>71.510000000000005</v>
      </c>
      <c r="E59" s="332">
        <f>E35</f>
        <v>71.510000000000005</v>
      </c>
      <c r="F59" s="341">
        <f>F35</f>
        <v>71.510000000000005</v>
      </c>
    </row>
    <row r="60" spans="3:10" ht="26.25" customHeight="1">
      <c r="C60" s="339" t="s">
        <v>36</v>
      </c>
      <c r="D60" s="350">
        <f>SUM(D53:D59)</f>
        <v>5495.3079269732107</v>
      </c>
      <c r="E60" s="350">
        <f>SUM(E53:E59)</f>
        <v>5635.9649269732108</v>
      </c>
      <c r="F60" s="351">
        <f>SUM(F53:F59)</f>
        <v>3390.0463269732099</v>
      </c>
      <c r="I60" s="35"/>
    </row>
    <row r="61" spans="3:10" ht="36.950000000000003" customHeight="1">
      <c r="C61" s="343" t="s">
        <v>43</v>
      </c>
      <c r="D61" s="352">
        <f>SUM(D60:D60)</f>
        <v>5495.3079269732107</v>
      </c>
      <c r="E61" s="352">
        <f>SUM(E60:E60)</f>
        <v>5635.9649269732108</v>
      </c>
      <c r="F61" s="353">
        <f>SUM(F60:F60)</f>
        <v>3390.0463269732099</v>
      </c>
    </row>
    <row r="62" spans="3:10" ht="36.950000000000003" customHeight="1" thickBot="1">
      <c r="C62" s="345" t="s">
        <v>55</v>
      </c>
      <c r="D62" s="346">
        <f>D40</f>
        <v>301.48</v>
      </c>
      <c r="E62" s="346"/>
      <c r="F62" s="347"/>
    </row>
    <row r="63" spans="3:10" ht="18.75" customHeight="1" thickTop="1">
      <c r="C63" s="809" t="s">
        <v>159</v>
      </c>
      <c r="D63" s="810"/>
      <c r="E63" s="810"/>
      <c r="F63" s="83"/>
    </row>
    <row r="64" spans="3:10" ht="18.75" customHeight="1">
      <c r="C64" s="811" t="s">
        <v>667</v>
      </c>
      <c r="D64" s="811"/>
      <c r="E64" s="811"/>
      <c r="F64" s="811"/>
    </row>
    <row r="65" spans="3:9" ht="18.75" customHeight="1">
      <c r="C65" s="811" t="s">
        <v>371</v>
      </c>
      <c r="D65" s="811"/>
      <c r="E65" s="811"/>
      <c r="F65" s="811"/>
    </row>
    <row r="66" spans="3:9" ht="18.75" customHeight="1">
      <c r="C66" s="653"/>
      <c r="D66" s="653"/>
      <c r="E66" s="653"/>
      <c r="F66" s="653"/>
    </row>
    <row r="67" spans="3:9" ht="40.5" customHeight="1">
      <c r="C67" s="748" t="s">
        <v>656</v>
      </c>
      <c r="D67" s="748"/>
      <c r="E67" s="748"/>
      <c r="F67" s="748"/>
      <c r="G67" s="748"/>
      <c r="H67" s="748"/>
      <c r="I67" s="748"/>
    </row>
    <row r="68" spans="3:9" ht="18.75" hidden="1" customHeight="1">
      <c r="C68" s="300"/>
      <c r="D68" s="300"/>
      <c r="E68" s="300"/>
    </row>
    <row r="69" spans="3:9" ht="33" hidden="1" customHeight="1">
      <c r="C69" s="30" t="s">
        <v>46</v>
      </c>
      <c r="D69" s="31"/>
      <c r="E69" s="32"/>
      <c r="F69" s="33"/>
    </row>
    <row r="70" spans="3:9" ht="15" hidden="1">
      <c r="C70" s="30" t="s">
        <v>44</v>
      </c>
      <c r="D70" s="31"/>
      <c r="E70" s="32"/>
      <c r="F70" s="33"/>
    </row>
    <row r="71" spans="3:9" ht="15" hidden="1">
      <c r="C71" s="30" t="s">
        <v>14</v>
      </c>
      <c r="D71" s="31"/>
      <c r="E71" s="32"/>
      <c r="F71" s="33"/>
    </row>
    <row r="72" spans="3:9" ht="15" hidden="1">
      <c r="C72" s="30" t="str">
        <f>+C51</f>
        <v>01 DE SEPTIEMBRE 2020</v>
      </c>
      <c r="D72" s="31"/>
      <c r="E72" s="32"/>
      <c r="F72"/>
    </row>
    <row r="73" spans="3:9" ht="45" hidden="1" customHeight="1" thickTop="1">
      <c r="C73" s="53" t="s">
        <v>15</v>
      </c>
      <c r="D73" s="301" t="s">
        <v>212</v>
      </c>
      <c r="E73" s="54" t="s">
        <v>213</v>
      </c>
      <c r="F73" s="54" t="s">
        <v>214</v>
      </c>
      <c r="G73"/>
    </row>
    <row r="74" spans="3:9" ht="27.75" hidden="1" customHeight="1">
      <c r="C74" s="308" t="s">
        <v>19</v>
      </c>
      <c r="D74" s="309">
        <f>+D6</f>
        <v>4583.5</v>
      </c>
      <c r="E74" s="310">
        <f>+D74</f>
        <v>4583.5</v>
      </c>
      <c r="F74" s="310">
        <f>+D74*77%</f>
        <v>3529.2950000000001</v>
      </c>
      <c r="G74"/>
    </row>
    <row r="75" spans="3:9" ht="27.75" hidden="1" customHeight="1">
      <c r="C75" s="308" t="s">
        <v>34</v>
      </c>
      <c r="D75" s="309" t="e">
        <f>#REF!</f>
        <v>#REF!</v>
      </c>
      <c r="E75" s="310" t="e">
        <f>D75</f>
        <v>#REF!</v>
      </c>
      <c r="F75" s="310" t="e">
        <f>E75</f>
        <v>#REF!</v>
      </c>
      <c r="G75"/>
    </row>
    <row r="76" spans="3:9" ht="27.75" hidden="1" customHeight="1">
      <c r="C76" s="311" t="s">
        <v>20</v>
      </c>
      <c r="D76" s="309">
        <f>+D7</f>
        <v>522.85</v>
      </c>
      <c r="E76" s="310"/>
      <c r="F76" s="310"/>
      <c r="G76"/>
    </row>
    <row r="77" spans="3:9" ht="27.75" hidden="1" customHeight="1">
      <c r="C77" s="312" t="s">
        <v>57</v>
      </c>
      <c r="D77" s="309">
        <f>+D59</f>
        <v>71.510000000000005</v>
      </c>
      <c r="E77" s="310">
        <f>+E59</f>
        <v>71.510000000000005</v>
      </c>
      <c r="F77" s="310">
        <f>+F59</f>
        <v>71.510000000000005</v>
      </c>
      <c r="G77"/>
    </row>
    <row r="78" spans="3:9" ht="27.75" hidden="1" customHeight="1">
      <c r="C78" s="308" t="s">
        <v>35</v>
      </c>
      <c r="D78" s="313">
        <f>386.04*(1+4.48%)*(1+5.69%)*(1+7.67%)*(1+2%)*(1+3.96%)</f>
        <v>486.69907901536254</v>
      </c>
      <c r="E78" s="314">
        <f>+D78</f>
        <v>486.69907901536254</v>
      </c>
      <c r="F78" s="314">
        <f>E78</f>
        <v>486.69907901536254</v>
      </c>
      <c r="G78"/>
    </row>
    <row r="79" spans="3:9" ht="27.75" hidden="1" customHeight="1">
      <c r="C79" s="308" t="s">
        <v>36</v>
      </c>
      <c r="D79" s="315" t="e">
        <f>SUM(D74:D78)</f>
        <v>#REF!</v>
      </c>
      <c r="E79" s="316" t="e">
        <f>SUM(E74:E78)</f>
        <v>#REF!</v>
      </c>
      <c r="F79" s="316" t="e">
        <f>SUM(F74:F78)</f>
        <v>#REF!</v>
      </c>
      <c r="G79"/>
    </row>
    <row r="80" spans="3:9" ht="36.950000000000003" hidden="1" customHeight="1">
      <c r="C80" s="34" t="s">
        <v>43</v>
      </c>
      <c r="D80" s="41" t="e">
        <f>SUM(D79:D79)</f>
        <v>#REF!</v>
      </c>
      <c r="E80" s="42" t="e">
        <f>SUM(E79:E79)</f>
        <v>#REF!</v>
      </c>
      <c r="F80" s="42" t="e">
        <f>SUM(F79:F79)</f>
        <v>#REF!</v>
      </c>
      <c r="G80"/>
    </row>
    <row r="81" spans="1:7" ht="36.75" hidden="1" customHeight="1" thickBot="1">
      <c r="C81" s="62" t="s">
        <v>32</v>
      </c>
      <c r="D81" s="28">
        <f>D40</f>
        <v>301.48</v>
      </c>
      <c r="E81" s="36"/>
      <c r="F81" s="36"/>
      <c r="G81"/>
    </row>
    <row r="82" spans="1:7" ht="27.75" hidden="1" customHeight="1" thickTop="1">
      <c r="C82" s="812" t="s">
        <v>190</v>
      </c>
      <c r="D82" s="812"/>
      <c r="E82" s="812"/>
    </row>
    <row r="83" spans="1:7" hidden="1">
      <c r="C83" s="37"/>
    </row>
    <row r="84" spans="1:7" hidden="1"/>
    <row r="85" spans="1:7" ht="15" hidden="1">
      <c r="C85" s="43" t="s">
        <v>53</v>
      </c>
      <c r="D85" s="30"/>
      <c r="E85" s="38"/>
    </row>
    <row r="86" spans="1:7" ht="15" hidden="1">
      <c r="C86" s="44" t="s">
        <v>14</v>
      </c>
      <c r="D86" s="44"/>
    </row>
    <row r="87" spans="1:7" ht="15" hidden="1">
      <c r="A87" s="8"/>
      <c r="B87" s="8"/>
      <c r="C87" s="45" t="str">
        <f>C72</f>
        <v>01 DE SEPTIEMBRE 2020</v>
      </c>
      <c r="D87" s="45"/>
    </row>
    <row r="88" spans="1:7" ht="28.5" hidden="1" customHeight="1" thickTop="1">
      <c r="A88" s="46"/>
      <c r="B88" s="46"/>
      <c r="C88" s="53" t="s">
        <v>15</v>
      </c>
      <c r="D88" s="54" t="s">
        <v>54</v>
      </c>
    </row>
    <row r="89" spans="1:7" hidden="1">
      <c r="C89" s="308" t="s">
        <v>19</v>
      </c>
      <c r="D89" s="310">
        <f>+D6</f>
        <v>4583.5</v>
      </c>
    </row>
    <row r="90" spans="1:7" hidden="1">
      <c r="C90" s="308" t="s">
        <v>34</v>
      </c>
      <c r="D90" s="310" t="e">
        <f>#REF!</f>
        <v>#REF!</v>
      </c>
    </row>
    <row r="91" spans="1:7" hidden="1">
      <c r="C91" s="308" t="s">
        <v>20</v>
      </c>
      <c r="D91" s="310">
        <f>D76</f>
        <v>522.85</v>
      </c>
    </row>
    <row r="92" spans="1:7" hidden="1">
      <c r="C92" s="308" t="s">
        <v>42</v>
      </c>
      <c r="D92" s="310" t="str">
        <f>'COMBUSTIBLES '!E15</f>
        <v>(***)</v>
      </c>
    </row>
    <row r="93" spans="1:7" hidden="1">
      <c r="C93" s="308" t="s">
        <v>55</v>
      </c>
      <c r="D93" s="314">
        <f>'COMBUSTIBLES '!E16</f>
        <v>301.48</v>
      </c>
    </row>
    <row r="94" spans="1:7" ht="15.75" hidden="1" thickBot="1">
      <c r="C94" s="47" t="s">
        <v>43</v>
      </c>
      <c r="D94" s="48" t="e">
        <f>SUM(D89:D93)</f>
        <v>#REF!</v>
      </c>
    </row>
    <row r="95" spans="1:7" hidden="1"/>
    <row r="96" spans="1:7" hidden="1"/>
    <row r="97" spans="3:15" ht="40.5" hidden="1" customHeight="1">
      <c r="C97" s="813" t="s">
        <v>58</v>
      </c>
      <c r="D97" s="813"/>
    </row>
    <row r="98" spans="3:15" hidden="1"/>
    <row r="99" spans="3:15" hidden="1"/>
    <row r="100" spans="3:15" hidden="1"/>
    <row r="101" spans="3:15" hidden="1"/>
    <row r="102" spans="3:15" hidden="1"/>
    <row r="103" spans="3:15" hidden="1"/>
    <row r="104" spans="3:15" hidden="1"/>
    <row r="106" spans="3:15" ht="19.5" hidden="1" customHeight="1" outlineLevel="1">
      <c r="C106" s="298" t="s">
        <v>614</v>
      </c>
      <c r="D106" s="298" t="s">
        <v>203</v>
      </c>
      <c r="E106" s="298" t="s">
        <v>204</v>
      </c>
      <c r="F106" s="298" t="s">
        <v>205</v>
      </c>
    </row>
    <row r="107" spans="3:15" ht="19.5" hidden="1" customHeight="1" outlineLevel="1">
      <c r="C107" s="296" t="s">
        <v>206</v>
      </c>
      <c r="D107" s="297">
        <f>+E6</f>
        <v>4583.5</v>
      </c>
      <c r="E107" s="297">
        <f>+F6</f>
        <v>3666.8</v>
      </c>
      <c r="F107" s="502">
        <f t="shared" ref="F107:F111" si="1">+D107-E107</f>
        <v>916.69999999999982</v>
      </c>
      <c r="I107" s="547" t="s">
        <v>628</v>
      </c>
      <c r="J107" s="3" t="s">
        <v>630</v>
      </c>
      <c r="K107" s="638">
        <v>912.6</v>
      </c>
      <c r="L107" s="35">
        <f>+F107-K107</f>
        <v>4.0999999999997954</v>
      </c>
    </row>
    <row r="108" spans="3:15" ht="20.25" hidden="1" customHeight="1" outlineLevel="1">
      <c r="C108" s="296" t="s">
        <v>209</v>
      </c>
      <c r="D108" s="296">
        <f>+BIODIESEL!E10</f>
        <v>4717.6000000000004</v>
      </c>
      <c r="E108" s="297">
        <f>+J6</f>
        <v>3819.2303999999999</v>
      </c>
      <c r="F108" s="502">
        <f t="shared" si="1"/>
        <v>898.36960000000045</v>
      </c>
      <c r="I108" s="547" t="s">
        <v>628</v>
      </c>
      <c r="J108" s="3" t="s">
        <v>693</v>
      </c>
      <c r="K108" s="638">
        <v>894.35</v>
      </c>
      <c r="L108" s="35">
        <f t="shared" ref="L108:L111" si="2">+F108-K108</f>
        <v>4.0196000000004233</v>
      </c>
    </row>
    <row r="109" spans="3:15" ht="19.5" hidden="1" customHeight="1" outlineLevel="1">
      <c r="C109" s="503" t="s">
        <v>613</v>
      </c>
      <c r="D109" s="504">
        <f>+E6</f>
        <v>4583.5</v>
      </c>
      <c r="E109" s="637">
        <f>+D109*50%</f>
        <v>2291.75</v>
      </c>
      <c r="F109" s="505">
        <f t="shared" si="1"/>
        <v>2291.75</v>
      </c>
      <c r="I109" s="547" t="s">
        <v>628</v>
      </c>
      <c r="J109" s="3" t="s">
        <v>630</v>
      </c>
      <c r="K109" s="638">
        <v>2281.5</v>
      </c>
      <c r="L109" s="35">
        <f t="shared" si="2"/>
        <v>10.25</v>
      </c>
    </row>
    <row r="110" spans="3:15" ht="19.5" hidden="1" customHeight="1" outlineLevel="1">
      <c r="C110" s="503" t="s">
        <v>612</v>
      </c>
      <c r="D110" s="504">
        <f>D53</f>
        <v>4717.6000000000004</v>
      </c>
      <c r="E110" s="504">
        <f>F53</f>
        <v>2471.6813999999999</v>
      </c>
      <c r="F110" s="505">
        <f t="shared" si="1"/>
        <v>2245.9186000000004</v>
      </c>
      <c r="I110" s="547"/>
      <c r="J110" s="3" t="s">
        <v>692</v>
      </c>
      <c r="K110" s="638">
        <v>2235.87</v>
      </c>
      <c r="L110" s="35">
        <f t="shared" si="2"/>
        <v>10.048600000000533</v>
      </c>
      <c r="N110" s="3">
        <v>2320.64</v>
      </c>
      <c r="O110" s="35">
        <f>+N110-L110</f>
        <v>2310.5913999999993</v>
      </c>
    </row>
    <row r="111" spans="3:15" hidden="1" outlineLevel="1">
      <c r="C111" s="3" t="s">
        <v>679</v>
      </c>
      <c r="D111" s="618">
        <f>+D30</f>
        <v>4583.5</v>
      </c>
      <c r="E111" s="35">
        <f>+F30</f>
        <v>3666.8</v>
      </c>
      <c r="F111" s="35">
        <f t="shared" si="1"/>
        <v>916.69999999999982</v>
      </c>
      <c r="J111" s="3" t="s">
        <v>630</v>
      </c>
      <c r="K111" s="638">
        <v>912.6</v>
      </c>
      <c r="L111" s="35">
        <f t="shared" si="2"/>
        <v>4.0999999999997954</v>
      </c>
    </row>
    <row r="112" spans="3:15" collapsed="1">
      <c r="K112" s="638"/>
    </row>
    <row r="114" spans="3:7" ht="93.75" customHeight="1">
      <c r="C114" s="749" t="s">
        <v>337</v>
      </c>
      <c r="D114" s="749"/>
      <c r="E114" s="749"/>
      <c r="F114" s="749"/>
      <c r="G114" s="749"/>
    </row>
  </sheetData>
  <mergeCells count="25">
    <mergeCell ref="C16:H16"/>
    <mergeCell ref="C1:H1"/>
    <mergeCell ref="C2:H2"/>
    <mergeCell ref="C3:H3"/>
    <mergeCell ref="F4:G4"/>
    <mergeCell ref="C15:H15"/>
    <mergeCell ref="C45:H45"/>
    <mergeCell ref="C17:H17"/>
    <mergeCell ref="C18:H18"/>
    <mergeCell ref="C20:I20"/>
    <mergeCell ref="C21:I21"/>
    <mergeCell ref="C22:I22"/>
    <mergeCell ref="C25:H25"/>
    <mergeCell ref="C26:H26"/>
    <mergeCell ref="C27:H27"/>
    <mergeCell ref="C42:J42"/>
    <mergeCell ref="C43:J43"/>
    <mergeCell ref="C44:J44"/>
    <mergeCell ref="C114:G114"/>
    <mergeCell ref="C63:E63"/>
    <mergeCell ref="C64:F64"/>
    <mergeCell ref="C65:F65"/>
    <mergeCell ref="C67:I67"/>
    <mergeCell ref="C82:E82"/>
    <mergeCell ref="C97:D97"/>
  </mergeCells>
  <printOptions horizontalCentered="1" verticalCentered="1"/>
  <pageMargins left="0.59055118110236227" right="0.39370078740157483" top="1.1811023622047245" bottom="0.98425196850393704" header="0" footer="0"/>
  <pageSetup scale="90" fitToHeight="3" orientation="landscape" horizontalDpi="1200" verticalDpi="1200" r:id="rId1"/>
  <headerFooter alignWithMargins="0"/>
  <rowBreaks count="2" manualBreakCount="2">
    <brk id="46" min="1" max="8" man="1"/>
    <brk id="68" min="2" max="6"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14"/>
  <sheetViews>
    <sheetView topLeftCell="A37" zoomScale="80" zoomScaleNormal="80" workbookViewId="0">
      <selection activeCell="F53" sqref="F53"/>
    </sheetView>
  </sheetViews>
  <sheetFormatPr baseColWidth="10" defaultColWidth="9.85546875" defaultRowHeight="14.25" outlineLevelRow="1" outlineLevelCol="2"/>
  <cols>
    <col min="1" max="2" width="9.85546875" style="3" customWidth="1"/>
    <col min="3" max="3" width="46.7109375" style="3" customWidth="1"/>
    <col min="4" max="4" width="33.28515625" style="3" customWidth="1"/>
    <col min="5" max="5" width="27.5703125" style="3" customWidth="1"/>
    <col min="6" max="6" width="34.42578125" style="3" customWidth="1" outlineLevel="1"/>
    <col min="7" max="7" width="28.7109375" style="3" hidden="1" customWidth="1" outlineLevel="2"/>
    <col min="8" max="8" width="31.140625" style="3" hidden="1" customWidth="1" outlineLevel="2"/>
    <col min="9" max="9" width="23.7109375" style="3" hidden="1" customWidth="1" outlineLevel="1" collapsed="1"/>
    <col min="10" max="10" width="32.28515625" style="3" customWidth="1" outlineLevel="1"/>
    <col min="11" max="11" width="14" style="3" customWidth="1"/>
    <col min="12" max="12" width="10.7109375" style="3" bestFit="1" customWidth="1"/>
    <col min="13" max="16384" width="9.85546875" style="3"/>
  </cols>
  <sheetData>
    <row r="1" spans="3:12" ht="15">
      <c r="C1" s="814" t="s">
        <v>208</v>
      </c>
      <c r="D1" s="814"/>
      <c r="E1" s="814"/>
      <c r="F1" s="814"/>
      <c r="G1" s="814"/>
      <c r="H1" s="814"/>
    </row>
    <row r="2" spans="3:12" ht="15">
      <c r="C2" s="814" t="s">
        <v>33</v>
      </c>
      <c r="D2" s="814"/>
      <c r="E2" s="814"/>
      <c r="F2" s="814"/>
      <c r="G2" s="814"/>
      <c r="H2" s="814"/>
    </row>
    <row r="3" spans="3:12" ht="15">
      <c r="C3" s="814" t="s">
        <v>14</v>
      </c>
      <c r="D3" s="814"/>
      <c r="E3" s="814"/>
      <c r="F3" s="814"/>
      <c r="G3" s="814"/>
      <c r="H3" s="814"/>
    </row>
    <row r="4" spans="3:12" ht="24.75" customHeight="1" thickBot="1">
      <c r="C4" s="302" t="s">
        <v>713</v>
      </c>
      <c r="D4" s="31"/>
      <c r="E4" s="32"/>
      <c r="F4" s="816"/>
      <c r="G4" s="816"/>
      <c r="H4" s="450"/>
      <c r="I4" s="450"/>
    </row>
    <row r="5" spans="3:12" ht="45" customHeight="1" thickTop="1">
      <c r="C5" s="120" t="s">
        <v>15</v>
      </c>
      <c r="D5" s="337" t="s">
        <v>212</v>
      </c>
      <c r="E5" s="337" t="s">
        <v>263</v>
      </c>
      <c r="F5" s="337" t="s">
        <v>338</v>
      </c>
      <c r="I5" s="337" t="s">
        <v>264</v>
      </c>
      <c r="J5" s="338" t="s">
        <v>665</v>
      </c>
    </row>
    <row r="6" spans="3:12" ht="22.5" customHeight="1">
      <c r="C6" s="339" t="s">
        <v>19</v>
      </c>
      <c r="D6" s="332">
        <f>'COMBUSTIBLES '!E7</f>
        <v>4583.5</v>
      </c>
      <c r="E6" s="332">
        <f>+D6</f>
        <v>4583.5</v>
      </c>
      <c r="F6" s="332">
        <f>+E6*80%</f>
        <v>3666.8</v>
      </c>
      <c r="I6" s="332">
        <f>+BIODIESEL!B7*4%+(F6)*96%</f>
        <v>3971.6608000000001</v>
      </c>
      <c r="J6" s="341">
        <f>+BIODIESEL!B7*2%+(F6)*98%</f>
        <v>3819.2303999999999</v>
      </c>
      <c r="L6" s="35"/>
    </row>
    <row r="7" spans="3:12" ht="22.5" customHeight="1">
      <c r="C7" s="342" t="str">
        <f>+'GASOLINA CORRIENTE OXIGENADA'!A11</f>
        <v>Impuesto Nacional a la Gasolina y al ACPM</v>
      </c>
      <c r="D7" s="335">
        <f>Variables!C32</f>
        <v>522.85</v>
      </c>
      <c r="E7" s="335">
        <f>Variables!C33</f>
        <v>666.38</v>
      </c>
      <c r="F7" s="335">
        <f>+E7</f>
        <v>666.38</v>
      </c>
      <c r="G7" s="83"/>
      <c r="H7" s="83"/>
      <c r="I7" s="335">
        <f>ROUND(F7*96%,2)</f>
        <v>639.72</v>
      </c>
      <c r="J7" s="121">
        <f>ROUND(E7*98%,2)</f>
        <v>653.04999999999995</v>
      </c>
    </row>
    <row r="8" spans="3:12" ht="22.5" customHeight="1">
      <c r="C8" s="342" t="str">
        <f>+'GASOLINA CORRIENTE OXIGENADA'!A12</f>
        <v>Impuesto sobre las Ventas</v>
      </c>
      <c r="D8" s="476" t="str">
        <f>'COMBUSTIBLES '!E12</f>
        <v>(3)</v>
      </c>
      <c r="E8" s="476" t="str">
        <f>'COMBUSTIBLES '!E12</f>
        <v>(3)</v>
      </c>
      <c r="F8" s="476" t="str">
        <f>+E8</f>
        <v>(3)</v>
      </c>
      <c r="G8" s="477"/>
      <c r="H8" s="477"/>
      <c r="I8" s="476" t="str">
        <f>+F8</f>
        <v>(3)</v>
      </c>
      <c r="J8" s="478" t="str">
        <f>+I8</f>
        <v>(3)</v>
      </c>
    </row>
    <row r="9" spans="3:12" ht="22.5" customHeight="1">
      <c r="C9" s="342" t="str">
        <f>+'GASOLINA CORRIENTE OXIGENADA'!A13</f>
        <v>Impuesto al carbono</v>
      </c>
      <c r="D9" s="332">
        <f>'COMBUSTIBLES '!E13</f>
        <v>174</v>
      </c>
      <c r="E9" s="332">
        <f>'COMBUSTIBLES '!E13</f>
        <v>174</v>
      </c>
      <c r="F9" s="332">
        <f>'COMBUSTIBLES '!E13</f>
        <v>174</v>
      </c>
      <c r="I9" s="332">
        <f>ROUND(F9*96%,2)</f>
        <v>167.04</v>
      </c>
      <c r="J9" s="341">
        <f>ROUND(E9*98%,2)</f>
        <v>170.52</v>
      </c>
    </row>
    <row r="10" spans="3:12" ht="22.5" customHeight="1">
      <c r="C10" s="339" t="s">
        <v>242</v>
      </c>
      <c r="D10" s="334" t="str">
        <f>+I10</f>
        <v>(*)</v>
      </c>
      <c r="E10" s="334" t="str">
        <f>+D10</f>
        <v>(*)</v>
      </c>
      <c r="F10" s="334" t="str">
        <f>+E10</f>
        <v>(*)</v>
      </c>
      <c r="I10" s="334" t="s">
        <v>11</v>
      </c>
      <c r="J10" s="408" t="str">
        <f>+I10</f>
        <v>(*)</v>
      </c>
    </row>
    <row r="11" spans="3:12" ht="22.5" customHeight="1">
      <c r="C11" s="104" t="s">
        <v>239</v>
      </c>
      <c r="D11" s="335">
        <f>'COMBUSTIBLES '!E10</f>
        <v>71.510000000000005</v>
      </c>
      <c r="E11" s="335">
        <f>+D11</f>
        <v>71.510000000000005</v>
      </c>
      <c r="F11" s="335">
        <f>+E11</f>
        <v>71.510000000000005</v>
      </c>
      <c r="I11" s="335">
        <f>+F11</f>
        <v>71.510000000000005</v>
      </c>
      <c r="J11" s="121">
        <f>+I11</f>
        <v>71.510000000000005</v>
      </c>
    </row>
    <row r="12" spans="3:12" ht="22.5" customHeight="1">
      <c r="C12" s="343" t="s">
        <v>215</v>
      </c>
      <c r="D12" s="336">
        <f>SUM(D6:D11)</f>
        <v>5351.8600000000006</v>
      </c>
      <c r="E12" s="336">
        <f>SUM(E6:E11)</f>
        <v>5495.39</v>
      </c>
      <c r="F12" s="336">
        <f>SUM(F6:F11)</f>
        <v>4578.6900000000005</v>
      </c>
      <c r="I12" s="336">
        <f>SUM(I6:I11)</f>
        <v>4849.9308000000001</v>
      </c>
      <c r="J12" s="344">
        <f>SUM(J6:J11)</f>
        <v>4714.3104000000003</v>
      </c>
    </row>
    <row r="13" spans="3:12" ht="22.5" customHeight="1" thickBot="1">
      <c r="C13" s="345" t="s">
        <v>8</v>
      </c>
      <c r="D13" s="346">
        <f>'COMBUSTIBLES '!E16</f>
        <v>301.48</v>
      </c>
      <c r="E13" s="346"/>
      <c r="F13" s="346"/>
      <c r="I13" s="346"/>
      <c r="J13" s="347"/>
    </row>
    <row r="14" spans="3:12" ht="12" customHeight="1" thickTop="1">
      <c r="C14" s="331"/>
      <c r="D14" s="29"/>
      <c r="E14" s="29"/>
      <c r="F14" s="451"/>
      <c r="G14" s="451"/>
      <c r="H14" s="451"/>
      <c r="I14" s="450"/>
    </row>
    <row r="15" spans="3:12" ht="18.75" customHeight="1">
      <c r="C15" s="817" t="s">
        <v>259</v>
      </c>
      <c r="D15" s="817"/>
      <c r="E15" s="817"/>
      <c r="F15" s="817"/>
      <c r="G15" s="817"/>
      <c r="H15" s="817"/>
    </row>
    <row r="16" spans="3:12" ht="49.5" customHeight="1">
      <c r="C16" s="815" t="s">
        <v>261</v>
      </c>
      <c r="D16" s="815"/>
      <c r="E16" s="815"/>
      <c r="F16" s="815"/>
      <c r="G16" s="815"/>
      <c r="H16" s="815"/>
    </row>
    <row r="17" spans="3:11" ht="34.5" customHeight="1">
      <c r="C17" s="765" t="s">
        <v>297</v>
      </c>
      <c r="D17" s="765"/>
      <c r="E17" s="765"/>
      <c r="F17" s="765"/>
      <c r="G17" s="765"/>
      <c r="H17" s="765"/>
    </row>
    <row r="18" spans="3:11">
      <c r="C18" s="765" t="s">
        <v>339</v>
      </c>
      <c r="D18" s="765"/>
      <c r="E18" s="765"/>
      <c r="F18" s="765"/>
      <c r="G18" s="765"/>
      <c r="H18" s="765"/>
    </row>
    <row r="19" spans="3:11" ht="28.5" customHeight="1">
      <c r="C19" s="348"/>
      <c r="D19" s="348"/>
      <c r="E19" s="348"/>
      <c r="F19" s="348"/>
      <c r="G19" s="348"/>
      <c r="H19" s="348"/>
    </row>
    <row r="20" spans="3:11">
      <c r="C20" s="748" t="s">
        <v>380</v>
      </c>
      <c r="D20" s="748"/>
      <c r="E20" s="748"/>
      <c r="F20" s="748"/>
      <c r="G20" s="748"/>
      <c r="H20" s="748"/>
      <c r="I20" s="748"/>
      <c r="J20" s="3" t="s">
        <v>159</v>
      </c>
    </row>
    <row r="21" spans="3:11">
      <c r="C21" s="748" t="s">
        <v>378</v>
      </c>
      <c r="D21" s="748"/>
      <c r="E21" s="748"/>
      <c r="F21" s="748"/>
      <c r="G21" s="748"/>
      <c r="H21" s="748"/>
      <c r="I21" s="748"/>
    </row>
    <row r="22" spans="3:11">
      <c r="C22" s="748" t="s">
        <v>379</v>
      </c>
      <c r="D22" s="748"/>
      <c r="E22" s="748"/>
      <c r="F22" s="748"/>
      <c r="G22" s="748"/>
      <c r="H22" s="748"/>
      <c r="I22" s="748"/>
    </row>
    <row r="23" spans="3:11">
      <c r="C23" s="654"/>
      <c r="D23" s="654"/>
      <c r="E23" s="654"/>
      <c r="F23" s="654"/>
      <c r="G23" s="654"/>
      <c r="H23" s="654"/>
      <c r="I23" s="654"/>
    </row>
    <row r="24" spans="3:11">
      <c r="C24" s="654"/>
      <c r="D24" s="654"/>
      <c r="E24" s="654"/>
      <c r="F24" s="654"/>
      <c r="G24" s="654"/>
      <c r="H24" s="654"/>
      <c r="I24" s="654"/>
    </row>
    <row r="25" spans="3:11" ht="15">
      <c r="C25" s="814" t="s">
        <v>45</v>
      </c>
      <c r="D25" s="814"/>
      <c r="E25" s="814"/>
      <c r="F25" s="814"/>
      <c r="G25" s="814"/>
      <c r="H25" s="814"/>
      <c r="J25" s="3" t="s">
        <v>159</v>
      </c>
    </row>
    <row r="26" spans="3:11" ht="15">
      <c r="C26" s="814" t="s">
        <v>37</v>
      </c>
      <c r="D26" s="814"/>
      <c r="E26" s="814"/>
      <c r="F26" s="814"/>
      <c r="G26" s="814"/>
      <c r="H26" s="814"/>
    </row>
    <row r="27" spans="3:11" ht="15">
      <c r="C27" s="814" t="s">
        <v>14</v>
      </c>
      <c r="D27" s="814"/>
      <c r="E27" s="814"/>
      <c r="F27" s="814"/>
      <c r="G27" s="814"/>
      <c r="H27" s="814"/>
    </row>
    <row r="28" spans="3:11" ht="15.75" thickBot="1">
      <c r="C28" s="302" t="str">
        <f>+C4</f>
        <v>15 DE SEPTIEMBRE 2020</v>
      </c>
      <c r="D28" s="31"/>
      <c r="E28" s="32"/>
      <c r="F28"/>
    </row>
    <row r="29" spans="3:11" ht="45" customHeight="1" thickTop="1">
      <c r="C29" s="120" t="s">
        <v>15</v>
      </c>
      <c r="D29" s="337" t="str">
        <f>+D5</f>
        <v xml:space="preserve">DIESEL MARINO </v>
      </c>
      <c r="E29" s="337" t="str">
        <f>+E5</f>
        <v>DIESEL MARINO CON CUPO (ART 174 LEY 1607/12)</v>
      </c>
      <c r="F29" s="337" t="str">
        <f>+F5</f>
        <v>DIESEL MARINO CON CUPO (ART 174 LEY 1607/12) CON DESCUENTO****</v>
      </c>
      <c r="G29" s="337" t="s">
        <v>301</v>
      </c>
      <c r="H29" s="337" t="s">
        <v>302</v>
      </c>
      <c r="J29" s="337" t="s">
        <v>660</v>
      </c>
    </row>
    <row r="30" spans="3:11" ht="23.25" customHeight="1">
      <c r="C30" s="339" t="s">
        <v>19</v>
      </c>
      <c r="D30" s="332">
        <f>+'SAN-ANDRES + GENERACION'!E8</f>
        <v>4583.5</v>
      </c>
      <c r="E30" s="332">
        <f>+D30</f>
        <v>4583.5</v>
      </c>
      <c r="F30" s="333">
        <f>+D30*80%</f>
        <v>3666.8</v>
      </c>
      <c r="G30" s="603">
        <v>1903.2</v>
      </c>
      <c r="H30" s="340">
        <v>1280.03</v>
      </c>
      <c r="J30" s="340">
        <f>+(F30*98%)+(BIODIESEL!B7*2%)</f>
        <v>3819.2303999999999</v>
      </c>
      <c r="K30" s="35" t="s">
        <v>159</v>
      </c>
    </row>
    <row r="31" spans="3:11" ht="23.25" customHeight="1">
      <c r="C31" s="342" t="str">
        <f>+C7</f>
        <v>Impuesto Nacional a la Gasolina y al ACPM</v>
      </c>
      <c r="D31" s="335">
        <f>+Variables!C33</f>
        <v>666.38</v>
      </c>
      <c r="E31" s="335">
        <f>D31</f>
        <v>666.38</v>
      </c>
      <c r="F31" s="335">
        <f>E31</f>
        <v>666.38</v>
      </c>
      <c r="G31" s="604">
        <f>+D31</f>
        <v>666.38</v>
      </c>
      <c r="H31" s="341">
        <f>+F31</f>
        <v>666.38</v>
      </c>
      <c r="J31" s="121">
        <f>ROUND(F31*98%,2)</f>
        <v>653.04999999999995</v>
      </c>
    </row>
    <row r="32" spans="3:11" ht="23.25" customHeight="1">
      <c r="C32" s="342" t="str">
        <f t="shared" ref="C32:F33" si="0">+C8</f>
        <v>Impuesto sobre las Ventas</v>
      </c>
      <c r="D32" s="332"/>
      <c r="E32" s="332"/>
      <c r="F32" s="332"/>
      <c r="G32" s="604"/>
      <c r="H32" s="341"/>
      <c r="J32" s="341"/>
    </row>
    <row r="33" spans="1:10" ht="23.25" customHeight="1">
      <c r="C33" s="342" t="str">
        <f t="shared" si="0"/>
        <v>Impuesto al carbono</v>
      </c>
      <c r="D33" s="332">
        <f t="shared" si="0"/>
        <v>174</v>
      </c>
      <c r="E33" s="332">
        <f t="shared" si="0"/>
        <v>174</v>
      </c>
      <c r="F33" s="332">
        <f t="shared" si="0"/>
        <v>174</v>
      </c>
      <c r="G33" s="604"/>
      <c r="H33" s="341"/>
      <c r="J33" s="121">
        <f>ROUND(F33*98%,2)</f>
        <v>170.52</v>
      </c>
    </row>
    <row r="34" spans="1:10" ht="23.25" customHeight="1">
      <c r="C34" s="339" t="s">
        <v>21</v>
      </c>
      <c r="D34" s="335" t="str">
        <f>+D10</f>
        <v>(*)</v>
      </c>
      <c r="E34" s="335" t="str">
        <f>+D34</f>
        <v>(*)</v>
      </c>
      <c r="F34" s="335" t="str">
        <f>+E34</f>
        <v>(*)</v>
      </c>
      <c r="G34" s="605" t="str">
        <f>+F34</f>
        <v>(*)</v>
      </c>
      <c r="H34" s="121" t="str">
        <f>+G34</f>
        <v>(*)</v>
      </c>
      <c r="J34" s="121">
        <f>+I34</f>
        <v>0</v>
      </c>
    </row>
    <row r="35" spans="1:10" ht="23.25" customHeight="1">
      <c r="C35" s="104" t="s">
        <v>239</v>
      </c>
      <c r="D35" s="332">
        <f>+D11</f>
        <v>71.510000000000005</v>
      </c>
      <c r="E35" s="332">
        <f>+E11</f>
        <v>71.510000000000005</v>
      </c>
      <c r="F35" s="332">
        <f>+F11</f>
        <v>71.510000000000005</v>
      </c>
      <c r="G35" s="606">
        <f>+I11</f>
        <v>71.510000000000005</v>
      </c>
      <c r="H35" s="341">
        <f>+J11</f>
        <v>71.510000000000005</v>
      </c>
      <c r="J35" s="341">
        <f>+J11</f>
        <v>71.510000000000005</v>
      </c>
    </row>
    <row r="36" spans="1:10" ht="23.25" customHeight="1">
      <c r="C36" s="349" t="s">
        <v>38</v>
      </c>
      <c r="D36" s="336">
        <f>SUM(D30:D35)</f>
        <v>5495.39</v>
      </c>
      <c r="E36" s="336">
        <f>SUM(E30:E35)</f>
        <v>5495.39</v>
      </c>
      <c r="F36" s="336">
        <f>SUM(F30:F35)</f>
        <v>4578.6900000000005</v>
      </c>
      <c r="G36" s="607">
        <f>SUM(G30:G35)</f>
        <v>2641.09</v>
      </c>
      <c r="H36" s="344">
        <f>SUM(H30:H35)</f>
        <v>2017.9199999999998</v>
      </c>
      <c r="J36" s="344">
        <f>SUM(J30:J35)</f>
        <v>4714.3104000000003</v>
      </c>
    </row>
    <row r="37" spans="1:10" ht="23.25" customHeight="1">
      <c r="C37" s="122" t="s">
        <v>243</v>
      </c>
      <c r="D37" s="102" t="s">
        <v>11</v>
      </c>
      <c r="E37" s="102" t="str">
        <f>+D37</f>
        <v>(*)</v>
      </c>
      <c r="F37" s="102" t="str">
        <f>E37</f>
        <v>(*)</v>
      </c>
      <c r="G37" s="608" t="str">
        <f>+F37</f>
        <v>(*)</v>
      </c>
      <c r="H37" s="103" t="str">
        <f>G37</f>
        <v>(*)</v>
      </c>
      <c r="J37" s="103" t="str">
        <f>+F37</f>
        <v>(*)</v>
      </c>
    </row>
    <row r="38" spans="1:10" ht="23.25" customHeight="1">
      <c r="C38" s="122" t="s">
        <v>245</v>
      </c>
      <c r="D38" s="102" t="s">
        <v>12</v>
      </c>
      <c r="E38" s="102" t="str">
        <f>+D38</f>
        <v>(**)</v>
      </c>
      <c r="F38" s="102" t="str">
        <f>E38</f>
        <v>(**)</v>
      </c>
      <c r="G38" s="608" t="str">
        <f>+F38</f>
        <v>(**)</v>
      </c>
      <c r="H38" s="103" t="str">
        <f>G38</f>
        <v>(**)</v>
      </c>
      <c r="I38" s="35"/>
      <c r="J38" s="103" t="str">
        <f>+F37</f>
        <v>(*)</v>
      </c>
    </row>
    <row r="39" spans="1:10" ht="23.25" customHeight="1">
      <c r="C39" s="343" t="s">
        <v>39</v>
      </c>
      <c r="D39" s="336">
        <f>SUM(D36:D38)</f>
        <v>5495.39</v>
      </c>
      <c r="E39" s="336">
        <f>SUM(E36:E38)</f>
        <v>5495.39</v>
      </c>
      <c r="F39" s="336">
        <f>SUM(F36:F38)</f>
        <v>4578.6900000000005</v>
      </c>
      <c r="G39" s="607">
        <f>SUM(G36:G38)</f>
        <v>2641.09</v>
      </c>
      <c r="H39" s="344">
        <f>SUM(H36:H38)</f>
        <v>2017.9199999999998</v>
      </c>
      <c r="J39" s="344">
        <f>SUM(J36:J38)</f>
        <v>4714.3104000000003</v>
      </c>
    </row>
    <row r="40" spans="1:10" ht="23.25" customHeight="1" thickBot="1">
      <c r="C40" s="345" t="s">
        <v>8</v>
      </c>
      <c r="D40" s="346">
        <f>'COMBUSTIBLES '!E16</f>
        <v>301.48</v>
      </c>
      <c r="E40" s="346"/>
      <c r="F40" s="346"/>
      <c r="G40" s="584"/>
      <c r="H40" s="347"/>
      <c r="J40" s="347"/>
    </row>
    <row r="41" spans="1:10" ht="15" thickTop="1">
      <c r="A41" s="3" t="s">
        <v>159</v>
      </c>
      <c r="C41" s="37" t="s">
        <v>159</v>
      </c>
      <c r="D41" s="38"/>
      <c r="E41" s="38"/>
      <c r="F41" s="83"/>
      <c r="G41" s="83"/>
      <c r="H41" s="83"/>
    </row>
    <row r="42" spans="1:10" ht="14.25" customHeight="1">
      <c r="C42" s="808" t="s">
        <v>260</v>
      </c>
      <c r="D42" s="808"/>
      <c r="E42" s="808"/>
      <c r="F42" s="808"/>
      <c r="G42" s="808"/>
      <c r="H42" s="808"/>
      <c r="I42" s="808"/>
      <c r="J42" s="808"/>
    </row>
    <row r="43" spans="1:10" ht="18" customHeight="1">
      <c r="C43" s="808" t="s">
        <v>244</v>
      </c>
      <c r="D43" s="808"/>
      <c r="E43" s="808"/>
      <c r="F43" s="808"/>
      <c r="G43" s="808"/>
      <c r="H43" s="808"/>
      <c r="I43" s="808"/>
      <c r="J43" s="808"/>
    </row>
    <row r="44" spans="1:10" ht="65.25" customHeight="1">
      <c r="C44" s="772" t="s">
        <v>303</v>
      </c>
      <c r="D44" s="772"/>
      <c r="E44" s="772"/>
      <c r="F44" s="772"/>
      <c r="G44" s="772"/>
      <c r="H44" s="772"/>
      <c r="I44" s="772"/>
      <c r="J44" s="772"/>
    </row>
    <row r="45" spans="1:10" ht="15" customHeight="1">
      <c r="C45" s="765" t="s">
        <v>339</v>
      </c>
      <c r="D45" s="765"/>
      <c r="E45" s="765"/>
      <c r="F45" s="765"/>
      <c r="G45" s="765"/>
      <c r="H45" s="765"/>
    </row>
    <row r="46" spans="1:10" s="15" customFormat="1" ht="13.5" customHeight="1">
      <c r="C46" s="39"/>
      <c r="D46" s="40"/>
      <c r="E46" s="40"/>
    </row>
    <row r="47" spans="1:10" ht="15">
      <c r="C47" s="30" t="s">
        <v>46</v>
      </c>
      <c r="D47" s="31"/>
      <c r="E47" s="32"/>
      <c r="F47" s="33"/>
    </row>
    <row r="48" spans="1:10" ht="15">
      <c r="C48" s="30" t="s">
        <v>40</v>
      </c>
      <c r="D48" s="31"/>
      <c r="E48" s="32"/>
      <c r="F48" s="33"/>
    </row>
    <row r="49" spans="3:9" ht="15">
      <c r="C49" s="30" t="s">
        <v>41</v>
      </c>
      <c r="D49" s="31"/>
      <c r="E49" s="32"/>
      <c r="F49" s="33"/>
    </row>
    <row r="50" spans="3:9" ht="15">
      <c r="C50" s="30" t="s">
        <v>14</v>
      </c>
      <c r="D50" s="31"/>
      <c r="E50" s="32"/>
      <c r="F50" s="33"/>
    </row>
    <row r="51" spans="3:9" ht="15.75" thickBot="1">
      <c r="C51" s="302" t="str">
        <f>+C28</f>
        <v>15 DE SEPTIEMBRE 2020</v>
      </c>
      <c r="D51" s="31"/>
      <c r="E51" s="32"/>
      <c r="F51"/>
    </row>
    <row r="52" spans="3:9" ht="29.25" thickTop="1">
      <c r="C52" s="120" t="s">
        <v>15</v>
      </c>
      <c r="D52" s="337" t="s">
        <v>247</v>
      </c>
      <c r="E52" s="337" t="s">
        <v>265</v>
      </c>
      <c r="F52" s="338" t="s">
        <v>266</v>
      </c>
    </row>
    <row r="53" spans="3:9" ht="26.25" customHeight="1">
      <c r="C53" s="339" t="s">
        <v>248</v>
      </c>
      <c r="D53" s="332">
        <f>+BIODIESEL!E10</f>
        <v>4717.6000000000004</v>
      </c>
      <c r="E53" s="332">
        <f>+D53</f>
        <v>4717.6000000000004</v>
      </c>
      <c r="F53" s="121">
        <f>+BIODIESEL!B7*2%+('COMBUSTIBLES '!E7*77%)*98%</f>
        <v>3684.4755</v>
      </c>
      <c r="G53" s="429"/>
    </row>
    <row r="54" spans="3:9" ht="26.25" customHeight="1">
      <c r="C54" s="339" t="str">
        <f>+C31</f>
        <v>Impuesto Nacional a la Gasolina y al ACPM</v>
      </c>
      <c r="D54" s="335">
        <f>+D7*98%</f>
        <v>512.39300000000003</v>
      </c>
      <c r="E54" s="335">
        <f>+J7</f>
        <v>653.04999999999995</v>
      </c>
      <c r="F54" s="121">
        <f>E54</f>
        <v>653.04999999999995</v>
      </c>
      <c r="G54" s="35"/>
    </row>
    <row r="55" spans="3:9" ht="26.25" customHeight="1">
      <c r="C55" s="339" t="str">
        <f>+C32</f>
        <v>Impuesto sobre las Ventas</v>
      </c>
      <c r="D55" s="476" t="str">
        <f>+'COMBUSTIBLES '!C12</f>
        <v>(3)</v>
      </c>
      <c r="E55" s="476" t="str">
        <f>+D55</f>
        <v>(3)</v>
      </c>
      <c r="F55" s="478" t="str">
        <f>+E55</f>
        <v>(3)</v>
      </c>
      <c r="G55" s="35"/>
    </row>
    <row r="56" spans="3:9" ht="26.25" customHeight="1">
      <c r="C56" s="339" t="str">
        <f>+C33</f>
        <v>Impuesto al carbono</v>
      </c>
      <c r="D56" s="332">
        <f>+D9*98%</f>
        <v>170.52</v>
      </c>
      <c r="E56" s="332">
        <f>+E33*98%</f>
        <v>170.52</v>
      </c>
      <c r="F56" s="341">
        <f>E56</f>
        <v>170.52</v>
      </c>
      <c r="G56" s="35"/>
    </row>
    <row r="57" spans="3:9" ht="26.25" customHeight="1">
      <c r="C57" s="339" t="s">
        <v>246</v>
      </c>
      <c r="D57" s="615" t="s">
        <v>11</v>
      </c>
      <c r="E57" s="102" t="str">
        <f>+D57</f>
        <v>(*)</v>
      </c>
      <c r="F57" s="103" t="str">
        <f>+E57</f>
        <v>(*)</v>
      </c>
    </row>
    <row r="58" spans="3:9" ht="26.25" customHeight="1">
      <c r="C58" s="339" t="s">
        <v>234</v>
      </c>
      <c r="D58" s="460">
        <f>+[9]Tarifas!$K$33</f>
        <v>23.284926973210073</v>
      </c>
      <c r="E58" s="335">
        <f>+D58</f>
        <v>23.284926973210073</v>
      </c>
      <c r="F58" s="121">
        <f>+E58</f>
        <v>23.284926973210073</v>
      </c>
    </row>
    <row r="59" spans="3:9" ht="26.25" customHeight="1">
      <c r="C59" s="104" t="s">
        <v>239</v>
      </c>
      <c r="D59" s="332">
        <f>D35</f>
        <v>71.510000000000005</v>
      </c>
      <c r="E59" s="332">
        <f>E35</f>
        <v>71.510000000000005</v>
      </c>
      <c r="F59" s="341">
        <f>F35</f>
        <v>71.510000000000005</v>
      </c>
    </row>
    <row r="60" spans="3:9" ht="26.25" customHeight="1">
      <c r="C60" s="339" t="s">
        <v>36</v>
      </c>
      <c r="D60" s="350">
        <f>SUM(D53:D59)</f>
        <v>5495.3079269732107</v>
      </c>
      <c r="E60" s="350">
        <f>SUM(E53:E59)</f>
        <v>5635.9649269732108</v>
      </c>
      <c r="F60" s="351">
        <f>SUM(F53:F59)</f>
        <v>4602.84042697321</v>
      </c>
      <c r="I60" s="35"/>
    </row>
    <row r="61" spans="3:9" ht="36.950000000000003" customHeight="1">
      <c r="C61" s="343" t="s">
        <v>43</v>
      </c>
      <c r="D61" s="352">
        <f>SUM(D60:D60)</f>
        <v>5495.3079269732107</v>
      </c>
      <c r="E61" s="352">
        <f>SUM(E60:E60)</f>
        <v>5635.9649269732108</v>
      </c>
      <c r="F61" s="353">
        <f>SUM(F60:F60)</f>
        <v>4602.84042697321</v>
      </c>
    </row>
    <row r="62" spans="3:9" ht="36.950000000000003" customHeight="1" thickBot="1">
      <c r="C62" s="345" t="s">
        <v>55</v>
      </c>
      <c r="D62" s="346">
        <f>D40</f>
        <v>301.48</v>
      </c>
      <c r="E62" s="346"/>
      <c r="F62" s="347"/>
    </row>
    <row r="63" spans="3:9" ht="18.75" customHeight="1" thickTop="1">
      <c r="C63" s="809" t="s">
        <v>159</v>
      </c>
      <c r="D63" s="810"/>
      <c r="E63" s="810"/>
      <c r="F63" s="83"/>
    </row>
    <row r="64" spans="3:9" ht="18.75" customHeight="1">
      <c r="C64" s="811" t="s">
        <v>667</v>
      </c>
      <c r="D64" s="811"/>
      <c r="E64" s="811"/>
      <c r="F64" s="811"/>
    </row>
    <row r="65" spans="3:9" ht="18.75" customHeight="1">
      <c r="C65" s="811" t="s">
        <v>371</v>
      </c>
      <c r="D65" s="811"/>
      <c r="E65" s="811"/>
      <c r="F65" s="811"/>
    </row>
    <row r="66" spans="3:9" ht="18.75" customHeight="1">
      <c r="C66" s="655"/>
      <c r="D66" s="655"/>
      <c r="E66" s="655"/>
      <c r="F66" s="655"/>
    </row>
    <row r="67" spans="3:9" ht="40.5" customHeight="1">
      <c r="C67" s="748" t="s">
        <v>656</v>
      </c>
      <c r="D67" s="748"/>
      <c r="E67" s="748"/>
      <c r="F67" s="748"/>
      <c r="G67" s="748"/>
      <c r="H67" s="748"/>
      <c r="I67" s="748"/>
    </row>
    <row r="68" spans="3:9" ht="18.75" hidden="1" customHeight="1">
      <c r="C68" s="300"/>
      <c r="D68" s="300"/>
      <c r="E68" s="300"/>
    </row>
    <row r="69" spans="3:9" ht="33" hidden="1" customHeight="1">
      <c r="C69" s="30" t="s">
        <v>46</v>
      </c>
      <c r="D69" s="31"/>
      <c r="E69" s="32"/>
      <c r="F69" s="33"/>
    </row>
    <row r="70" spans="3:9" ht="15" hidden="1">
      <c r="C70" s="30" t="s">
        <v>44</v>
      </c>
      <c r="D70" s="31"/>
      <c r="E70" s="32"/>
      <c r="F70" s="33"/>
    </row>
    <row r="71" spans="3:9" ht="15" hidden="1">
      <c r="C71" s="30" t="s">
        <v>14</v>
      </c>
      <c r="D71" s="31"/>
      <c r="E71" s="32"/>
      <c r="F71" s="33"/>
    </row>
    <row r="72" spans="3:9" ht="15.75" hidden="1" thickBot="1">
      <c r="C72" s="30" t="str">
        <f>+C51</f>
        <v>15 DE SEPTIEMBRE 2020</v>
      </c>
      <c r="D72" s="31"/>
      <c r="E72" s="32"/>
      <c r="F72"/>
    </row>
    <row r="73" spans="3:9" ht="45" hidden="1" customHeight="1" thickTop="1">
      <c r="C73" s="53" t="s">
        <v>15</v>
      </c>
      <c r="D73" s="301" t="s">
        <v>212</v>
      </c>
      <c r="E73" s="54" t="s">
        <v>213</v>
      </c>
      <c r="F73" s="54" t="s">
        <v>214</v>
      </c>
      <c r="G73"/>
    </row>
    <row r="74" spans="3:9" ht="27.75" hidden="1" customHeight="1">
      <c r="C74" s="308" t="s">
        <v>19</v>
      </c>
      <c r="D74" s="309">
        <f>+D6</f>
        <v>4583.5</v>
      </c>
      <c r="E74" s="310">
        <f>+D74</f>
        <v>4583.5</v>
      </c>
      <c r="F74" s="310">
        <f>+D74*77%</f>
        <v>3529.2950000000001</v>
      </c>
      <c r="G74"/>
    </row>
    <row r="75" spans="3:9" ht="27.75" hidden="1" customHeight="1">
      <c r="C75" s="308" t="s">
        <v>34</v>
      </c>
      <c r="D75" s="309" t="e">
        <f>#REF!</f>
        <v>#REF!</v>
      </c>
      <c r="E75" s="310" t="e">
        <f>D75</f>
        <v>#REF!</v>
      </c>
      <c r="F75" s="310" t="e">
        <f>E75</f>
        <v>#REF!</v>
      </c>
      <c r="G75"/>
    </row>
    <row r="76" spans="3:9" ht="27.75" hidden="1" customHeight="1">
      <c r="C76" s="311" t="s">
        <v>20</v>
      </c>
      <c r="D76" s="309">
        <f>+D7</f>
        <v>522.85</v>
      </c>
      <c r="E76" s="310"/>
      <c r="F76" s="310"/>
      <c r="G76"/>
    </row>
    <row r="77" spans="3:9" ht="27.75" hidden="1" customHeight="1">
      <c r="C77" s="312" t="s">
        <v>57</v>
      </c>
      <c r="D77" s="309">
        <f>+D59</f>
        <v>71.510000000000005</v>
      </c>
      <c r="E77" s="310">
        <f>+E59</f>
        <v>71.510000000000005</v>
      </c>
      <c r="F77" s="310">
        <f>+F59</f>
        <v>71.510000000000005</v>
      </c>
      <c r="G77"/>
    </row>
    <row r="78" spans="3:9" ht="27.75" hidden="1" customHeight="1">
      <c r="C78" s="308" t="s">
        <v>35</v>
      </c>
      <c r="D78" s="313">
        <f>386.04*(1+4.48%)*(1+5.69%)*(1+7.67%)*(1+2%)*(1+3.96%)</f>
        <v>486.69907901536254</v>
      </c>
      <c r="E78" s="314">
        <f>+D78</f>
        <v>486.69907901536254</v>
      </c>
      <c r="F78" s="314">
        <f>E78</f>
        <v>486.69907901536254</v>
      </c>
      <c r="G78"/>
    </row>
    <row r="79" spans="3:9" ht="27.75" hidden="1" customHeight="1">
      <c r="C79" s="308" t="s">
        <v>36</v>
      </c>
      <c r="D79" s="315" t="e">
        <f>SUM(D74:D78)</f>
        <v>#REF!</v>
      </c>
      <c r="E79" s="316" t="e">
        <f>SUM(E74:E78)</f>
        <v>#REF!</v>
      </c>
      <c r="F79" s="316" t="e">
        <f>SUM(F74:F78)</f>
        <v>#REF!</v>
      </c>
      <c r="G79"/>
    </row>
    <row r="80" spans="3:9" ht="36.950000000000003" hidden="1" customHeight="1">
      <c r="C80" s="34" t="s">
        <v>43</v>
      </c>
      <c r="D80" s="41" t="e">
        <f>SUM(D79:D79)</f>
        <v>#REF!</v>
      </c>
      <c r="E80" s="42" t="e">
        <f>SUM(E79:E79)</f>
        <v>#REF!</v>
      </c>
      <c r="F80" s="42" t="e">
        <f>SUM(F79:F79)</f>
        <v>#REF!</v>
      </c>
      <c r="G80"/>
    </row>
    <row r="81" spans="1:7" ht="36.75" hidden="1" customHeight="1" thickBot="1">
      <c r="C81" s="62" t="s">
        <v>32</v>
      </c>
      <c r="D81" s="28">
        <f>D40</f>
        <v>301.48</v>
      </c>
      <c r="E81" s="36"/>
      <c r="F81" s="36"/>
      <c r="G81"/>
    </row>
    <row r="82" spans="1:7" ht="27.75" hidden="1" customHeight="1" thickTop="1">
      <c r="C82" s="812" t="s">
        <v>190</v>
      </c>
      <c r="D82" s="812"/>
      <c r="E82" s="812"/>
    </row>
    <row r="83" spans="1:7" hidden="1">
      <c r="C83" s="37"/>
    </row>
    <row r="84" spans="1:7" hidden="1"/>
    <row r="85" spans="1:7" ht="15" hidden="1">
      <c r="C85" s="43" t="s">
        <v>53</v>
      </c>
      <c r="D85" s="30"/>
      <c r="E85" s="38"/>
    </row>
    <row r="86" spans="1:7" ht="15" hidden="1">
      <c r="C86" s="44" t="s">
        <v>14</v>
      </c>
      <c r="D86" s="44"/>
    </row>
    <row r="87" spans="1:7" ht="15.75" hidden="1" thickBot="1">
      <c r="A87" s="8"/>
      <c r="B87" s="8"/>
      <c r="C87" s="45" t="str">
        <f>C72</f>
        <v>15 DE SEPTIEMBRE 2020</v>
      </c>
      <c r="D87" s="45"/>
    </row>
    <row r="88" spans="1:7" ht="28.5" hidden="1" customHeight="1" thickTop="1">
      <c r="A88" s="46"/>
      <c r="B88" s="46"/>
      <c r="C88" s="53" t="s">
        <v>15</v>
      </c>
      <c r="D88" s="54" t="s">
        <v>54</v>
      </c>
    </row>
    <row r="89" spans="1:7" hidden="1">
      <c r="C89" s="308" t="s">
        <v>19</v>
      </c>
      <c r="D89" s="310">
        <f>+D6</f>
        <v>4583.5</v>
      </c>
    </row>
    <row r="90" spans="1:7" hidden="1">
      <c r="C90" s="308" t="s">
        <v>34</v>
      </c>
      <c r="D90" s="310" t="e">
        <f>#REF!</f>
        <v>#REF!</v>
      </c>
    </row>
    <row r="91" spans="1:7" hidden="1">
      <c r="C91" s="308" t="s">
        <v>20</v>
      </c>
      <c r="D91" s="310">
        <f>D76</f>
        <v>522.85</v>
      </c>
    </row>
    <row r="92" spans="1:7" hidden="1">
      <c r="C92" s="308" t="s">
        <v>42</v>
      </c>
      <c r="D92" s="310" t="str">
        <f>'COMBUSTIBLES '!E15</f>
        <v>(***)</v>
      </c>
    </row>
    <row r="93" spans="1:7" hidden="1">
      <c r="C93" s="308" t="s">
        <v>55</v>
      </c>
      <c r="D93" s="314">
        <f>'COMBUSTIBLES '!E16</f>
        <v>301.48</v>
      </c>
    </row>
    <row r="94" spans="1:7" ht="15.75" hidden="1" thickBot="1">
      <c r="C94" s="47" t="s">
        <v>43</v>
      </c>
      <c r="D94" s="48" t="e">
        <f>SUM(D89:D93)</f>
        <v>#REF!</v>
      </c>
    </row>
    <row r="95" spans="1:7" ht="15" hidden="1" thickTop="1"/>
    <row r="96" spans="1:7" hidden="1"/>
    <row r="97" spans="3:16" ht="40.5" hidden="1" customHeight="1">
      <c r="C97" s="813" t="s">
        <v>58</v>
      </c>
      <c r="D97" s="813"/>
    </row>
    <row r="98" spans="3:16" hidden="1"/>
    <row r="99" spans="3:16" hidden="1"/>
    <row r="100" spans="3:16" hidden="1"/>
    <row r="101" spans="3:16" hidden="1"/>
    <row r="102" spans="3:16" hidden="1"/>
    <row r="103" spans="3:16" hidden="1"/>
    <row r="104" spans="3:16" hidden="1"/>
    <row r="106" spans="3:16" ht="19.5" hidden="1" customHeight="1" outlineLevel="1">
      <c r="C106" s="298" t="s">
        <v>614</v>
      </c>
      <c r="D106" s="298" t="s">
        <v>203</v>
      </c>
      <c r="E106" s="298" t="s">
        <v>204</v>
      </c>
      <c r="F106" s="298" t="s">
        <v>205</v>
      </c>
    </row>
    <row r="107" spans="3:16" ht="19.5" hidden="1" customHeight="1" outlineLevel="1">
      <c r="C107" s="296" t="s">
        <v>206</v>
      </c>
      <c r="D107" s="297">
        <f>+E6</f>
        <v>4583.5</v>
      </c>
      <c r="E107" s="297">
        <f>+F6</f>
        <v>3666.8</v>
      </c>
      <c r="F107" s="502">
        <f t="shared" ref="F107:F111" si="1">+D107-E107</f>
        <v>916.69999999999982</v>
      </c>
      <c r="I107" s="547" t="s">
        <v>628</v>
      </c>
      <c r="J107" s="3" t="s">
        <v>630</v>
      </c>
      <c r="K107" s="638">
        <v>912.6</v>
      </c>
      <c r="L107" s="35">
        <f>+F107-K107</f>
        <v>4.0999999999997954</v>
      </c>
      <c r="N107" s="3" t="s">
        <v>714</v>
      </c>
    </row>
    <row r="108" spans="3:16" ht="20.25" hidden="1" customHeight="1" outlineLevel="1">
      <c r="C108" s="296" t="s">
        <v>209</v>
      </c>
      <c r="D108" s="296">
        <f>+BIODIESEL!E10</f>
        <v>4717.6000000000004</v>
      </c>
      <c r="E108" s="297">
        <f>+J6</f>
        <v>3819.2303999999999</v>
      </c>
      <c r="F108" s="502">
        <f t="shared" si="1"/>
        <v>898.36960000000045</v>
      </c>
      <c r="I108" s="547" t="s">
        <v>628</v>
      </c>
      <c r="J108" s="3" t="s">
        <v>693</v>
      </c>
      <c r="K108" s="638">
        <v>894.35</v>
      </c>
      <c r="L108" s="35">
        <f t="shared" ref="L108:L111" si="2">+F108-K108</f>
        <v>4.0196000000004233</v>
      </c>
      <c r="O108" s="663" t="s">
        <v>715</v>
      </c>
    </row>
    <row r="109" spans="3:16" ht="19.5" hidden="1" customHeight="1" outlineLevel="1">
      <c r="C109" s="503" t="s">
        <v>613</v>
      </c>
      <c r="D109" s="504">
        <f>+E6</f>
        <v>4583.5</v>
      </c>
      <c r="E109" s="637">
        <f>+D109*77%</f>
        <v>3529.2950000000001</v>
      </c>
      <c r="F109" s="662">
        <f t="shared" si="1"/>
        <v>1054.2049999999999</v>
      </c>
      <c r="I109" s="547" t="s">
        <v>628</v>
      </c>
      <c r="J109" s="3" t="s">
        <v>712</v>
      </c>
      <c r="K109" s="638">
        <v>2281.5</v>
      </c>
      <c r="L109" s="35">
        <f t="shared" si="2"/>
        <v>-1227.2950000000001</v>
      </c>
      <c r="O109" s="678">
        <f>+D109-D109*0.77</f>
        <v>1054.2049999999999</v>
      </c>
      <c r="P109" s="3" t="s">
        <v>716</v>
      </c>
    </row>
    <row r="110" spans="3:16" ht="19.5" hidden="1" customHeight="1" outlineLevel="1">
      <c r="C110" s="503" t="s">
        <v>612</v>
      </c>
      <c r="D110" s="504">
        <f>D53</f>
        <v>4717.6000000000004</v>
      </c>
      <c r="E110" s="504">
        <f>F53</f>
        <v>3684.4755</v>
      </c>
      <c r="F110" s="662">
        <f t="shared" si="1"/>
        <v>1033.1245000000004</v>
      </c>
      <c r="I110" s="547"/>
      <c r="J110" s="3" t="s">
        <v>712</v>
      </c>
      <c r="K110" s="638">
        <v>2235.87</v>
      </c>
      <c r="L110" s="35">
        <f t="shared" si="2"/>
        <v>-1202.7454999999995</v>
      </c>
      <c r="O110" s="678">
        <f>+D110-D109*0.98*0.77-225.77</f>
        <v>1033.1209000000003</v>
      </c>
    </row>
    <row r="111" spans="3:16" hidden="1" outlineLevel="1">
      <c r="C111" s="3" t="s">
        <v>679</v>
      </c>
      <c r="D111" s="618">
        <f>+D30</f>
        <v>4583.5</v>
      </c>
      <c r="E111" s="35">
        <f>+F30</f>
        <v>3666.8</v>
      </c>
      <c r="F111" s="35">
        <f t="shared" si="1"/>
        <v>916.69999999999982</v>
      </c>
      <c r="J111" s="3" t="s">
        <v>630</v>
      </c>
      <c r="K111" s="638">
        <v>912.6</v>
      </c>
      <c r="L111" s="35">
        <f t="shared" si="2"/>
        <v>4.0999999999997954</v>
      </c>
      <c r="O111" s="35"/>
    </row>
    <row r="112" spans="3:16" collapsed="1">
      <c r="K112" s="638"/>
    </row>
    <row r="113" spans="3:10">
      <c r="J113" s="35"/>
    </row>
    <row r="114" spans="3:10" ht="93.75" customHeight="1">
      <c r="C114" s="749" t="s">
        <v>337</v>
      </c>
      <c r="D114" s="749"/>
      <c r="E114" s="749"/>
      <c r="F114" s="749"/>
      <c r="G114" s="749"/>
      <c r="J114" s="35"/>
    </row>
  </sheetData>
  <mergeCells count="25">
    <mergeCell ref="C16:H16"/>
    <mergeCell ref="C1:H1"/>
    <mergeCell ref="C2:H2"/>
    <mergeCell ref="C3:H3"/>
    <mergeCell ref="F4:G4"/>
    <mergeCell ref="C15:H15"/>
    <mergeCell ref="C45:H45"/>
    <mergeCell ref="C17:H17"/>
    <mergeCell ref="C18:H18"/>
    <mergeCell ref="C20:I20"/>
    <mergeCell ref="C21:I21"/>
    <mergeCell ref="C22:I22"/>
    <mergeCell ref="C25:H25"/>
    <mergeCell ref="C26:H26"/>
    <mergeCell ref="C27:H27"/>
    <mergeCell ref="C42:J42"/>
    <mergeCell ref="C43:J43"/>
    <mergeCell ref="C44:J44"/>
    <mergeCell ref="C114:G114"/>
    <mergeCell ref="C63:E63"/>
    <mergeCell ref="C64:F64"/>
    <mergeCell ref="C65:F65"/>
    <mergeCell ref="C67:I67"/>
    <mergeCell ref="C82:E82"/>
    <mergeCell ref="C97:D97"/>
  </mergeCells>
  <printOptions horizontalCentered="1" verticalCentered="1"/>
  <pageMargins left="0.59055118110236227" right="0.39370078740157483" top="1.1811023622047245" bottom="0.98425196850393704" header="0" footer="0"/>
  <pageSetup scale="90" fitToHeight="3" orientation="landscape" horizontalDpi="1200" verticalDpi="1200" r:id="rId1"/>
  <headerFooter alignWithMargins="0"/>
  <rowBreaks count="2" manualBreakCount="2">
    <brk id="46" min="1" max="8" man="1"/>
    <brk id="68" min="2" max="6"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18"/>
  <dimension ref="A1:Y52"/>
  <sheetViews>
    <sheetView zoomScale="80" zoomScaleNormal="80" workbookViewId="0">
      <selection activeCell="N7" sqref="N7"/>
    </sheetView>
  </sheetViews>
  <sheetFormatPr baseColWidth="10" defaultColWidth="7.85546875" defaultRowHeight="14.25"/>
  <cols>
    <col min="1" max="1" width="56.42578125" style="304" customWidth="1"/>
    <col min="2" max="2" width="21.7109375" style="304" customWidth="1"/>
    <col min="3" max="3" width="16.42578125" style="304" customWidth="1"/>
    <col min="4" max="4" width="18" style="304" hidden="1" customWidth="1"/>
    <col min="5" max="5" width="21" style="304" customWidth="1"/>
    <col min="6" max="6" width="19.28515625" style="304" hidden="1" customWidth="1"/>
    <col min="7" max="7" width="22.7109375" style="304" hidden="1" customWidth="1"/>
    <col min="8" max="8" width="17.42578125" style="304" customWidth="1"/>
    <col min="9" max="9" width="18.85546875" style="304" customWidth="1"/>
    <col min="10" max="10" width="18.5703125" style="304" customWidth="1"/>
    <col min="11" max="11" width="7.85546875" style="304"/>
    <col min="12" max="12" width="10.5703125" style="304" bestFit="1" customWidth="1"/>
    <col min="13" max="13" width="11.7109375" style="304" bestFit="1" customWidth="1"/>
    <col min="14" max="16384" width="7.85546875" style="304"/>
  </cols>
  <sheetData>
    <row r="1" spans="1:25" s="16" customFormat="1" ht="18">
      <c r="A1" s="818" t="s">
        <v>31</v>
      </c>
      <c r="B1" s="818"/>
      <c r="C1" s="818"/>
      <c r="D1" s="818"/>
      <c r="E1" s="818"/>
      <c r="F1" s="818"/>
      <c r="G1" s="818"/>
      <c r="H1" s="818"/>
      <c r="I1" s="818"/>
      <c r="J1" s="818"/>
    </row>
    <row r="2" spans="1:25" s="16" customFormat="1" ht="56.25" customHeight="1">
      <c r="A2" s="819" t="s">
        <v>358</v>
      </c>
      <c r="B2" s="819"/>
      <c r="C2" s="819"/>
      <c r="D2" s="819"/>
      <c r="E2" s="819"/>
      <c r="F2" s="819"/>
      <c r="G2" s="819"/>
      <c r="H2" s="819"/>
      <c r="I2" s="819"/>
      <c r="J2" s="819"/>
      <c r="M2" s="461"/>
    </row>
    <row r="3" spans="1:25" ht="24.75" customHeight="1">
      <c r="A3" s="814" t="s">
        <v>24</v>
      </c>
      <c r="B3" s="814"/>
      <c r="C3" s="814"/>
      <c r="D3" s="814"/>
      <c r="E3" s="814"/>
      <c r="F3" s="814"/>
      <c r="G3" s="467"/>
      <c r="I3" s="540"/>
      <c r="J3" s="540"/>
      <c r="K3" s="540"/>
      <c r="L3" s="540"/>
      <c r="M3" s="540"/>
      <c r="N3" s="540"/>
      <c r="O3" s="540"/>
    </row>
    <row r="4" spans="1:25" ht="15">
      <c r="A4" s="27"/>
    </row>
    <row r="5" spans="1:25" ht="15.75" thickBot="1">
      <c r="A5" s="24" t="str">
        <f>+'COMBUSTIBLES '!A1</f>
        <v>01 DE SEPTIEMBRE 2020</v>
      </c>
      <c r="B5" s="185">
        <v>0</v>
      </c>
      <c r="C5" s="185">
        <v>0.02</v>
      </c>
      <c r="D5" s="185">
        <v>0</v>
      </c>
      <c r="E5" s="186">
        <v>0.02</v>
      </c>
      <c r="F5" s="185">
        <v>0</v>
      </c>
      <c r="G5" s="185">
        <v>0</v>
      </c>
      <c r="H5" s="186">
        <v>0.02</v>
      </c>
      <c r="I5" s="185">
        <v>0</v>
      </c>
      <c r="J5" s="186">
        <v>0</v>
      </c>
    </row>
    <row r="6" spans="1:25" ht="47.25" customHeight="1" thickTop="1">
      <c r="A6" s="354" t="s">
        <v>15</v>
      </c>
      <c r="B6" s="355" t="s">
        <v>66</v>
      </c>
      <c r="C6" s="355" t="s">
        <v>662</v>
      </c>
      <c r="D6" s="355" t="s">
        <v>161</v>
      </c>
      <c r="E6" s="355" t="s">
        <v>663</v>
      </c>
      <c r="F6" s="355" t="s">
        <v>162</v>
      </c>
      <c r="G6" s="355" t="s">
        <v>345</v>
      </c>
      <c r="H6" s="355" t="s">
        <v>664</v>
      </c>
      <c r="I6" s="355" t="s">
        <v>300</v>
      </c>
      <c r="J6" s="356" t="s">
        <v>299</v>
      </c>
      <c r="M6" s="663" t="s">
        <v>717</v>
      </c>
      <c r="N6" s="663"/>
      <c r="O6" s="663"/>
      <c r="P6" s="663"/>
      <c r="Q6" s="663"/>
      <c r="R6" s="663"/>
    </row>
    <row r="7" spans="1:25" ht="27.75" customHeight="1">
      <c r="A7" s="119" t="s">
        <v>250</v>
      </c>
      <c r="B7" s="334">
        <v>5121.6499999999996</v>
      </c>
      <c r="C7" s="334">
        <v>4828.0200000000004</v>
      </c>
      <c r="D7" s="334">
        <v>6875.1811988924737</v>
      </c>
      <c r="E7" s="334">
        <v>5198.08</v>
      </c>
      <c r="F7" s="334">
        <v>6794.4669776671717</v>
      </c>
      <c r="G7" s="334">
        <v>6537.1057563440854</v>
      </c>
      <c r="H7" s="334">
        <v>4828.0243</v>
      </c>
      <c r="I7" s="581">
        <f>+C7</f>
        <v>4828.0200000000004</v>
      </c>
      <c r="J7" s="408">
        <f>+I7</f>
        <v>4828.0200000000004</v>
      </c>
      <c r="M7" s="646"/>
    </row>
    <row r="8" spans="1:25" ht="27.75" customHeight="1">
      <c r="A8" s="342" t="s">
        <v>67</v>
      </c>
      <c r="B8" s="357">
        <v>0</v>
      </c>
      <c r="C8" s="334">
        <f>+BIODIESEL!B7</f>
        <v>11288.32</v>
      </c>
      <c r="D8" s="642">
        <v>0</v>
      </c>
      <c r="E8" s="642">
        <f>+C8</f>
        <v>11288.32</v>
      </c>
      <c r="F8" s="642">
        <v>0</v>
      </c>
      <c r="G8" s="642">
        <v>0</v>
      </c>
      <c r="H8" s="642">
        <f>+E8</f>
        <v>11288.32</v>
      </c>
      <c r="I8" s="581">
        <f>+D8</f>
        <v>0</v>
      </c>
      <c r="J8" s="408">
        <f>+D8</f>
        <v>0</v>
      </c>
      <c r="M8" s="643"/>
      <c r="N8" s="367"/>
      <c r="O8" s="367"/>
      <c r="P8" s="367"/>
      <c r="Q8" s="367"/>
      <c r="R8" s="367"/>
      <c r="S8" s="367"/>
      <c r="T8" s="367"/>
      <c r="U8" s="367"/>
      <c r="V8" s="367"/>
      <c r="W8" s="367"/>
      <c r="X8" s="367"/>
      <c r="Y8" s="367"/>
    </row>
    <row r="9" spans="1:25" ht="35.25" customHeight="1">
      <c r="A9" s="359" t="s">
        <v>160</v>
      </c>
      <c r="B9" s="360">
        <f t="shared" ref="B9:G9" si="0">+B8*B5+B7*(1-B5)</f>
        <v>5121.6499999999996</v>
      </c>
      <c r="C9" s="431">
        <f>+C8*C5+C7*(1-C5)</f>
        <v>4957.2260000000006</v>
      </c>
      <c r="D9" s="431">
        <f>+D8*D5+D7*(1-D5)</f>
        <v>6875.1811988924737</v>
      </c>
      <c r="E9" s="431">
        <f>(E8*E5)+E7*(1-E5)</f>
        <v>5319.8847999999998</v>
      </c>
      <c r="F9" s="431">
        <f t="shared" si="0"/>
        <v>6794.4669776671717</v>
      </c>
      <c r="G9" s="431">
        <f t="shared" si="0"/>
        <v>6537.1057563440854</v>
      </c>
      <c r="H9" s="431">
        <f>+H8*H5+H7*(1-H5)</f>
        <v>4957.2302140000002</v>
      </c>
      <c r="I9" s="582">
        <f>+I7</f>
        <v>4828.0200000000004</v>
      </c>
      <c r="J9" s="432">
        <f>+J7</f>
        <v>4828.0200000000004</v>
      </c>
      <c r="L9" s="619" t="s">
        <v>159</v>
      </c>
      <c r="M9" s="647"/>
      <c r="N9" s="367">
        <v>6978.4077749146245</v>
      </c>
      <c r="O9" s="367">
        <v>6875.1811988924737</v>
      </c>
      <c r="P9" s="367">
        <v>7272.6860170874797</v>
      </c>
      <c r="Q9" s="367">
        <v>6794.4669776671717</v>
      </c>
      <c r="R9" s="367">
        <v>6537.1057563440854</v>
      </c>
      <c r="S9" s="367">
        <v>7022.1892934113339</v>
      </c>
      <c r="T9" s="367">
        <v>6875.1811988924737</v>
      </c>
      <c r="U9" s="367">
        <v>6875.1811988924737</v>
      </c>
      <c r="V9" s="367"/>
      <c r="W9" s="367"/>
      <c r="X9" s="367"/>
      <c r="Y9" s="367"/>
    </row>
    <row r="10" spans="1:25" ht="27.75" customHeight="1">
      <c r="A10" s="342" t="s">
        <v>65</v>
      </c>
      <c r="B10" s="358">
        <f>+'COMBUSTIBLES '!E8</f>
        <v>8.1370000000000005</v>
      </c>
      <c r="C10" s="334">
        <f>+BIODIESEL!F14</f>
        <v>8.1370000000000005</v>
      </c>
      <c r="D10" s="334">
        <f>+'COMBUSTIBLES '!E8</f>
        <v>8.1370000000000005</v>
      </c>
      <c r="E10" s="334">
        <f>+BIODIESEL!E14</f>
        <v>8.1370000000000005</v>
      </c>
      <c r="F10" s="334">
        <f>'COMBUSTIBLES '!E8</f>
        <v>8.1370000000000005</v>
      </c>
      <c r="G10" s="334">
        <f>E10</f>
        <v>8.1370000000000005</v>
      </c>
      <c r="H10" s="334">
        <f>+BIODIESEL!E14</f>
        <v>8.1370000000000005</v>
      </c>
      <c r="I10" s="581">
        <v>0</v>
      </c>
      <c r="J10" s="408">
        <v>0</v>
      </c>
      <c r="M10" s="367">
        <v>6474.0480291453787</v>
      </c>
      <c r="N10" s="367">
        <v>6414.6173003313961</v>
      </c>
      <c r="O10" s="367">
        <v>6875.1811988924737</v>
      </c>
      <c r="P10" s="367">
        <v>6660.1986685624715</v>
      </c>
      <c r="Q10" s="367">
        <v>6794.4669776671717</v>
      </c>
      <c r="R10" s="367">
        <v>6537.1057563440854</v>
      </c>
      <c r="S10" s="367">
        <v>6414.6173003313961</v>
      </c>
      <c r="T10" s="367">
        <v>6875.1811988924737</v>
      </c>
      <c r="U10" s="367">
        <v>6875.1811988924737</v>
      </c>
      <c r="V10" s="367"/>
      <c r="W10" s="367"/>
      <c r="X10" s="367"/>
      <c r="Y10" s="367"/>
    </row>
    <row r="11" spans="1:25" ht="27.75" customHeight="1">
      <c r="A11" s="342" t="s">
        <v>192</v>
      </c>
      <c r="B11" s="334">
        <v>21.91</v>
      </c>
      <c r="C11" s="358">
        <f>+B11</f>
        <v>21.91</v>
      </c>
      <c r="D11" s="358">
        <f>+B11</f>
        <v>21.91</v>
      </c>
      <c r="E11" s="358">
        <f>+B11</f>
        <v>21.91</v>
      </c>
      <c r="F11" s="358">
        <f>+B11</f>
        <v>21.91</v>
      </c>
      <c r="G11" s="358">
        <f>+C11</f>
        <v>21.91</v>
      </c>
      <c r="H11" s="358">
        <f>+B11</f>
        <v>21.91</v>
      </c>
      <c r="I11" s="581">
        <f>+D11</f>
        <v>21.91</v>
      </c>
      <c r="J11" s="408">
        <f>+D11</f>
        <v>21.91</v>
      </c>
      <c r="M11" s="620"/>
      <c r="N11" s="620">
        <f t="shared" ref="N11:U11" si="1">+(N10-N9)/N9</f>
        <v>-8.0790703663075336E-2</v>
      </c>
      <c r="O11" s="620">
        <f t="shared" si="1"/>
        <v>0</v>
      </c>
      <c r="P11" s="620">
        <f t="shared" si="1"/>
        <v>-8.4217488158562545E-2</v>
      </c>
      <c r="Q11" s="620">
        <f t="shared" si="1"/>
        <v>0</v>
      </c>
      <c r="R11" s="620">
        <f t="shared" si="1"/>
        <v>0</v>
      </c>
      <c r="S11" s="620">
        <f t="shared" si="1"/>
        <v>-8.6521733848730145E-2</v>
      </c>
      <c r="T11" s="620">
        <f t="shared" si="1"/>
        <v>0</v>
      </c>
      <c r="U11" s="620">
        <f t="shared" si="1"/>
        <v>0</v>
      </c>
      <c r="V11" s="367"/>
      <c r="W11" s="367"/>
      <c r="X11" s="367"/>
      <c r="Y11" s="367"/>
    </row>
    <row r="12" spans="1:25" ht="27.75" customHeight="1">
      <c r="A12" s="104" t="s">
        <v>239</v>
      </c>
      <c r="B12" s="358">
        <f>+'COMBUSTIBLES '!E10</f>
        <v>71.510000000000005</v>
      </c>
      <c r="C12" s="358">
        <f>+B12</f>
        <v>71.510000000000005</v>
      </c>
      <c r="D12" s="358">
        <f>+C12</f>
        <v>71.510000000000005</v>
      </c>
      <c r="E12" s="358">
        <f>+D12</f>
        <v>71.510000000000005</v>
      </c>
      <c r="F12" s="358">
        <f>+E12</f>
        <v>71.510000000000005</v>
      </c>
      <c r="G12" s="358">
        <f>+F12</f>
        <v>71.510000000000005</v>
      </c>
      <c r="H12" s="358">
        <f>+F12</f>
        <v>71.510000000000005</v>
      </c>
      <c r="I12" s="581">
        <f>+D12</f>
        <v>71.510000000000005</v>
      </c>
      <c r="J12" s="408">
        <f>+D12</f>
        <v>71.510000000000005</v>
      </c>
      <c r="M12" s="367"/>
      <c r="N12" s="367"/>
      <c r="O12" s="367"/>
      <c r="P12" s="367"/>
      <c r="Q12" s="367"/>
      <c r="R12" s="367"/>
      <c r="S12" s="367"/>
      <c r="T12" s="367"/>
      <c r="U12" s="367"/>
      <c r="V12" s="367"/>
      <c r="W12" s="367"/>
      <c r="X12" s="367"/>
      <c r="Y12" s="367"/>
    </row>
    <row r="13" spans="1:25" ht="27.75" customHeight="1">
      <c r="A13" s="342" t="str">
        <f>+'COMBUSTIBLES '!A11</f>
        <v>Impuesto Nacional a la Gasolina y al ACPM</v>
      </c>
      <c r="B13" s="358">
        <f>+'COMBUSTIBLES '!E11</f>
        <v>522.85</v>
      </c>
      <c r="C13" s="358">
        <f>+BIODIESEL!E11</f>
        <v>512.39</v>
      </c>
      <c r="D13" s="358">
        <f>+'COMBUSTIBLES '!E11</f>
        <v>522.85</v>
      </c>
      <c r="E13" s="358">
        <f>+BIODIESEL!E11</f>
        <v>512.39</v>
      </c>
      <c r="F13" s="358">
        <f>+'COMBUSTIBLES '!E11</f>
        <v>522.85</v>
      </c>
      <c r="G13" s="358">
        <f>+F13</f>
        <v>522.85</v>
      </c>
      <c r="H13" s="358">
        <f>+BIODIESEL!E11</f>
        <v>512.39</v>
      </c>
      <c r="I13" s="581" t="e">
        <f>#REF!</f>
        <v>#REF!</v>
      </c>
      <c r="J13" s="408" t="e">
        <f>+#REF!</f>
        <v>#REF!</v>
      </c>
    </row>
    <row r="14" spans="1:25" ht="27.75" customHeight="1">
      <c r="A14" s="342" t="s">
        <v>271</v>
      </c>
      <c r="B14" s="476" t="str">
        <f>+'COMBUSTIBLES '!C12</f>
        <v>(3)</v>
      </c>
      <c r="C14" s="476" t="str">
        <f>+'COMBUSTIBLES '!D12</f>
        <v>(3)</v>
      </c>
      <c r="D14" s="476" t="str">
        <f>+B14</f>
        <v>(3)</v>
      </c>
      <c r="E14" s="476" t="str">
        <f>+D14</f>
        <v>(3)</v>
      </c>
      <c r="F14" s="476" t="str">
        <f>+D14</f>
        <v>(3)</v>
      </c>
      <c r="G14" s="476" t="str">
        <f>+E14</f>
        <v>(3)</v>
      </c>
      <c r="H14" s="476" t="str">
        <f>+F14</f>
        <v>(3)</v>
      </c>
      <c r="I14" s="583" t="str">
        <f>+G14</f>
        <v>(3)</v>
      </c>
      <c r="J14" s="103" t="str">
        <f>+H14</f>
        <v>(3)</v>
      </c>
    </row>
    <row r="15" spans="1:25" ht="27.75" customHeight="1">
      <c r="A15" s="304" t="s">
        <v>360</v>
      </c>
      <c r="B15" s="358">
        <f>+'COMBUSTIBLES '!E13</f>
        <v>174</v>
      </c>
      <c r="C15" s="358">
        <f>+BIODIESEL!E13</f>
        <v>170.52</v>
      </c>
      <c r="D15" s="358">
        <f>+B15</f>
        <v>174</v>
      </c>
      <c r="E15" s="358">
        <f>+BIODIESEL!E13</f>
        <v>170.52</v>
      </c>
      <c r="F15" s="358">
        <f>+'COMBUSTIBLES '!E13</f>
        <v>174</v>
      </c>
      <c r="G15" s="358"/>
      <c r="H15" s="358">
        <f>+E15</f>
        <v>170.52</v>
      </c>
      <c r="I15" s="581">
        <f>+D15</f>
        <v>174</v>
      </c>
      <c r="J15" s="408">
        <f>+I15</f>
        <v>174</v>
      </c>
      <c r="L15" s="473"/>
    </row>
    <row r="16" spans="1:25" ht="27.75" customHeight="1">
      <c r="A16" s="342" t="s">
        <v>252</v>
      </c>
      <c r="B16" s="361" t="s">
        <v>22</v>
      </c>
      <c r="C16" s="358" t="s">
        <v>22</v>
      </c>
      <c r="D16" s="358" t="str">
        <f t="shared" ref="D16:G17" si="2">+C16</f>
        <v>(***)</v>
      </c>
      <c r="E16" s="358" t="str">
        <f t="shared" si="2"/>
        <v>(***)</v>
      </c>
      <c r="F16" s="358" t="str">
        <f t="shared" si="2"/>
        <v>(***)</v>
      </c>
      <c r="G16" s="358" t="str">
        <f t="shared" si="2"/>
        <v>(***)</v>
      </c>
      <c r="H16" s="358" t="str">
        <f>+F16</f>
        <v>(***)</v>
      </c>
      <c r="I16" s="581" t="str">
        <f>+D16</f>
        <v>(***)</v>
      </c>
      <c r="J16" s="408" t="s">
        <v>22</v>
      </c>
    </row>
    <row r="17" spans="1:11" ht="27.75" customHeight="1">
      <c r="A17" s="342" t="s">
        <v>251</v>
      </c>
      <c r="B17" s="358" t="s">
        <v>225</v>
      </c>
      <c r="C17" s="358" t="str">
        <f>+B17</f>
        <v>(****)</v>
      </c>
      <c r="D17" s="358" t="str">
        <f t="shared" si="2"/>
        <v>(****)</v>
      </c>
      <c r="E17" s="358" t="str">
        <f t="shared" si="2"/>
        <v>(****)</v>
      </c>
      <c r="F17" s="358" t="str">
        <f t="shared" si="2"/>
        <v>(****)</v>
      </c>
      <c r="G17" s="358" t="str">
        <f t="shared" si="2"/>
        <v>(****)</v>
      </c>
      <c r="H17" s="358" t="str">
        <f>+F17</f>
        <v>(****)</v>
      </c>
      <c r="I17" s="581" t="str">
        <f>+D17</f>
        <v>(****)</v>
      </c>
      <c r="J17" s="408" t="s">
        <v>225</v>
      </c>
    </row>
    <row r="18" spans="1:11" ht="27.75" customHeight="1" thickBot="1">
      <c r="A18" s="362" t="s">
        <v>55</v>
      </c>
      <c r="B18" s="346">
        <f>+'COMBUSTIBLES '!E16</f>
        <v>301.48</v>
      </c>
      <c r="C18" s="346">
        <f>+B18</f>
        <v>301.48</v>
      </c>
      <c r="D18" s="346">
        <f>+B18</f>
        <v>301.48</v>
      </c>
      <c r="E18" s="346">
        <f>+B18</f>
        <v>301.48</v>
      </c>
      <c r="F18" s="346">
        <f>+D18</f>
        <v>301.48</v>
      </c>
      <c r="G18" s="346">
        <f>+E18</f>
        <v>301.48</v>
      </c>
      <c r="H18" s="346">
        <f>+F18</f>
        <v>301.48</v>
      </c>
      <c r="I18" s="584">
        <f>+D18</f>
        <v>301.48</v>
      </c>
      <c r="J18" s="347"/>
    </row>
    <row r="19" spans="1:11" s="367" customFormat="1" ht="15.75" customHeight="1" thickTop="1">
      <c r="A19" s="25"/>
      <c r="B19" s="26"/>
      <c r="C19" s="26"/>
      <c r="D19" s="26"/>
      <c r="I19" s="26"/>
    </row>
    <row r="20" spans="1:11" s="367" customFormat="1" ht="15.75" customHeight="1">
      <c r="A20" s="466" t="s">
        <v>359</v>
      </c>
      <c r="B20" s="26"/>
      <c r="C20" s="26"/>
      <c r="D20" s="26"/>
      <c r="I20" s="26"/>
    </row>
    <row r="21" spans="1:11" s="367" customFormat="1" ht="15.75" customHeight="1">
      <c r="A21" s="25"/>
      <c r="B21" s="26"/>
      <c r="C21" s="26"/>
      <c r="D21" s="26"/>
      <c r="I21" s="26"/>
    </row>
    <row r="22" spans="1:11" s="367" customFormat="1" ht="15.75" customHeight="1">
      <c r="A22" s="364" t="s">
        <v>30</v>
      </c>
      <c r="B22" s="26"/>
      <c r="C22" s="26"/>
      <c r="D22" s="26"/>
      <c r="I22" s="26"/>
    </row>
    <row r="23" spans="1:11" s="367" customFormat="1" ht="3.75" customHeight="1">
      <c r="A23" s="25"/>
      <c r="B23" s="26"/>
      <c r="C23" s="26"/>
      <c r="D23" s="26"/>
      <c r="I23" s="26"/>
    </row>
    <row r="24" spans="1:11" s="19" customFormat="1" ht="15">
      <c r="A24" s="363" t="s">
        <v>165</v>
      </c>
      <c r="B24" s="18"/>
      <c r="C24" s="18"/>
    </row>
    <row r="25" spans="1:11" s="19" customFormat="1" ht="5.25" customHeight="1">
      <c r="A25" s="17"/>
      <c r="B25" s="18"/>
      <c r="C25" s="18"/>
    </row>
    <row r="26" spans="1:11" s="19" customFormat="1" ht="15">
      <c r="A26" s="363" t="s">
        <v>166</v>
      </c>
      <c r="B26" s="18"/>
      <c r="C26" s="18"/>
      <c r="K26" s="19" t="s">
        <v>159</v>
      </c>
    </row>
    <row r="27" spans="1:11" s="19" customFormat="1" ht="11.25" customHeight="1">
      <c r="A27" s="17"/>
      <c r="B27" s="18"/>
      <c r="C27" s="18"/>
    </row>
    <row r="28" spans="1:11" s="19" customFormat="1" ht="32.25" customHeight="1">
      <c r="A28" s="820" t="s">
        <v>249</v>
      </c>
      <c r="B28" s="820"/>
      <c r="C28" s="820"/>
      <c r="D28" s="820"/>
      <c r="E28" s="820"/>
      <c r="F28" s="820"/>
      <c r="G28" s="820"/>
      <c r="H28" s="820"/>
      <c r="I28" s="820"/>
      <c r="J28" s="820"/>
    </row>
    <row r="29" spans="1:11" s="19" customFormat="1" ht="8.25" customHeight="1">
      <c r="A29" s="17"/>
      <c r="B29" s="18"/>
      <c r="C29" s="18"/>
    </row>
    <row r="30" spans="1:11" s="19" customFormat="1" ht="30.75" customHeight="1">
      <c r="A30" s="820" t="s">
        <v>254</v>
      </c>
      <c r="B30" s="820"/>
      <c r="C30" s="820"/>
      <c r="D30" s="820"/>
      <c r="E30" s="820"/>
      <c r="F30" s="820"/>
      <c r="G30" s="820"/>
      <c r="H30" s="820"/>
      <c r="I30" s="820"/>
      <c r="J30" s="820"/>
    </row>
    <row r="31" spans="1:11" s="19" customFormat="1" ht="5.25" customHeight="1">
      <c r="A31" s="17"/>
      <c r="B31" s="18"/>
      <c r="C31" s="18"/>
    </row>
    <row r="32" spans="1:11" s="19" customFormat="1" ht="38.25" customHeight="1">
      <c r="A32" s="820" t="s">
        <v>220</v>
      </c>
      <c r="B32" s="820"/>
      <c r="C32" s="820"/>
      <c r="D32" s="820"/>
      <c r="E32" s="820"/>
      <c r="F32" s="820"/>
      <c r="G32" s="820"/>
      <c r="H32" s="820"/>
      <c r="I32" s="820"/>
      <c r="J32" s="820"/>
    </row>
    <row r="33" spans="1:10" s="19" customFormat="1" ht="15">
      <c r="A33" s="17" t="s">
        <v>159</v>
      </c>
      <c r="B33" s="18"/>
      <c r="C33" s="18"/>
    </row>
    <row r="34" spans="1:10" s="19" customFormat="1" ht="14.25" customHeight="1">
      <c r="A34" s="821" t="s">
        <v>650</v>
      </c>
      <c r="B34" s="821"/>
      <c r="C34" s="821"/>
      <c r="D34" s="821"/>
      <c r="E34" s="821"/>
      <c r="F34" s="821"/>
      <c r="G34" s="821"/>
      <c r="H34" s="821"/>
      <c r="I34" s="821"/>
      <c r="J34" s="821"/>
    </row>
    <row r="35" spans="1:10" ht="54" customHeight="1">
      <c r="A35" s="821"/>
      <c r="B35" s="821"/>
      <c r="C35" s="821"/>
      <c r="D35" s="821"/>
      <c r="E35" s="821"/>
      <c r="F35" s="821"/>
      <c r="G35" s="821"/>
      <c r="H35" s="821"/>
      <c r="I35" s="821"/>
      <c r="J35" s="821"/>
    </row>
    <row r="36" spans="1:10">
      <c r="A36" s="748" t="s">
        <v>159</v>
      </c>
      <c r="B36" s="748"/>
      <c r="C36" s="748"/>
      <c r="D36" s="748"/>
      <c r="E36" s="748"/>
      <c r="F36" s="748"/>
      <c r="G36" s="748"/>
    </row>
    <row r="51" spans="4:12">
      <c r="D51" s="540"/>
      <c r="E51" s="540"/>
      <c r="F51" s="540"/>
      <c r="G51" s="540"/>
      <c r="H51" s="540"/>
      <c r="I51" s="540"/>
      <c r="J51" s="540"/>
      <c r="K51" s="540"/>
      <c r="L51" s="540"/>
    </row>
    <row r="52" spans="4:12">
      <c r="D52" s="540"/>
      <c r="E52" s="540"/>
      <c r="F52" s="540"/>
      <c r="G52" s="540"/>
      <c r="H52" s="540"/>
      <c r="I52" s="540"/>
      <c r="J52" s="540"/>
      <c r="K52" s="540"/>
      <c r="L52" s="540"/>
    </row>
  </sheetData>
  <mergeCells count="8">
    <mergeCell ref="A1:J1"/>
    <mergeCell ref="A2:J2"/>
    <mergeCell ref="A36:G36"/>
    <mergeCell ref="A3:F3"/>
    <mergeCell ref="A28:J28"/>
    <mergeCell ref="A30:J30"/>
    <mergeCell ref="A32:J32"/>
    <mergeCell ref="A34:J35"/>
  </mergeCells>
  <phoneticPr fontId="22" type="noConversion"/>
  <printOptions horizontalCentered="1" verticalCentered="1"/>
  <pageMargins left="0.74803149606299213" right="0.74803149606299213" top="0.98425196850393704" bottom="0.98425196850393704" header="0.51181102362204722" footer="0.51181102362204722"/>
  <pageSetup scale="6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
  <sheetViews>
    <sheetView workbookViewId="0"/>
  </sheetViews>
  <sheetFormatPr baseColWidth="10" defaultRowHeight="12.7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
  <sheetViews>
    <sheetView workbookViewId="0"/>
  </sheetViews>
  <sheetFormatPr baseColWidth="10" defaultRowHeight="12.7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
  <sheetViews>
    <sheetView workbookViewId="0"/>
  </sheetViews>
  <sheetFormatPr baseColWidth="10"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92D050"/>
  </sheetPr>
  <dimension ref="B1:L49"/>
  <sheetViews>
    <sheetView workbookViewId="0">
      <selection activeCell="A35" sqref="A35:I35"/>
    </sheetView>
  </sheetViews>
  <sheetFormatPr baseColWidth="10" defaultRowHeight="12.75" outlineLevelRow="1"/>
  <cols>
    <col min="1" max="1" width="4.5703125" style="141" customWidth="1"/>
    <col min="2" max="2" width="34.42578125" style="139" customWidth="1"/>
    <col min="3" max="3" width="16.28515625" style="141" customWidth="1"/>
    <col min="4" max="4" width="2.5703125" style="141" customWidth="1"/>
    <col min="5" max="7" width="14.28515625" style="141" customWidth="1"/>
    <col min="8" max="16384" width="11.42578125" style="141"/>
  </cols>
  <sheetData>
    <row r="1" spans="2:4">
      <c r="B1" s="463" t="s">
        <v>361</v>
      </c>
      <c r="C1" s="464">
        <v>490</v>
      </c>
    </row>
    <row r="2" spans="2:4">
      <c r="B2" s="463" t="s">
        <v>362</v>
      </c>
      <c r="C2" s="464">
        <v>469</v>
      </c>
    </row>
    <row r="3" spans="2:4">
      <c r="B3" s="463" t="s">
        <v>346</v>
      </c>
      <c r="C3" s="464">
        <v>930</v>
      </c>
    </row>
    <row r="4" spans="2:4" hidden="1" outlineLevel="1">
      <c r="B4" s="463" t="s">
        <v>347</v>
      </c>
      <c r="C4" s="464">
        <v>1109.5455419999998</v>
      </c>
    </row>
    <row r="5" spans="2:4" hidden="1" outlineLevel="1">
      <c r="B5" s="463" t="s">
        <v>348</v>
      </c>
      <c r="C5" s="464">
        <v>529.41173003999995</v>
      </c>
    </row>
    <row r="6" spans="2:4" collapsed="1">
      <c r="B6" s="463" t="s">
        <v>352</v>
      </c>
      <c r="C6" s="464">
        <v>965.24</v>
      </c>
    </row>
    <row r="7" spans="2:4">
      <c r="B7" s="463" t="s">
        <v>354</v>
      </c>
      <c r="C7" s="464">
        <v>1021.31</v>
      </c>
    </row>
    <row r="8" spans="2:4">
      <c r="B8" s="463" t="s">
        <v>353</v>
      </c>
      <c r="C8" s="464">
        <v>639.51</v>
      </c>
    </row>
    <row r="9" spans="2:4">
      <c r="B9" s="463" t="s">
        <v>376</v>
      </c>
      <c r="C9" s="464">
        <v>597.75187500000004</v>
      </c>
    </row>
    <row r="10" spans="2:4">
      <c r="B10" s="463" t="s">
        <v>364</v>
      </c>
      <c r="C10" s="464">
        <v>135</v>
      </c>
    </row>
    <row r="11" spans="2:4">
      <c r="B11" s="463" t="s">
        <v>365</v>
      </c>
      <c r="C11" s="464">
        <v>152</v>
      </c>
    </row>
    <row r="12" spans="2:4">
      <c r="B12" s="463" t="s">
        <v>366</v>
      </c>
      <c r="C12" s="464">
        <v>148</v>
      </c>
    </row>
    <row r="13" spans="2:4">
      <c r="B13" s="463" t="s">
        <v>367</v>
      </c>
      <c r="C13" s="464">
        <v>177</v>
      </c>
    </row>
    <row r="14" spans="2:4">
      <c r="B14" s="462" t="s">
        <v>377</v>
      </c>
      <c r="C14" s="470">
        <v>5.7500000000000002E-2</v>
      </c>
    </row>
    <row r="15" spans="2:4">
      <c r="B15" s="462" t="s">
        <v>617</v>
      </c>
      <c r="C15" s="470">
        <v>4.0899999999999999E-2</v>
      </c>
      <c r="D15" s="471"/>
    </row>
    <row r="16" spans="2:4">
      <c r="B16" s="462" t="s">
        <v>627</v>
      </c>
      <c r="C16" s="470">
        <v>3.1800000000000002E-2</v>
      </c>
      <c r="D16" s="471"/>
    </row>
    <row r="17" spans="2:12" s="138" customFormat="1">
      <c r="B17" s="702" t="str">
        <f>+'COMBUSTIBLES '!A1</f>
        <v>01 DE SEPTIEMBRE 2020</v>
      </c>
      <c r="C17" s="145" t="s">
        <v>267</v>
      </c>
      <c r="E17" s="702" t="s">
        <v>8</v>
      </c>
      <c r="F17" s="702"/>
      <c r="G17" s="702"/>
    </row>
    <row r="18" spans="2:12" s="138" customFormat="1">
      <c r="B18" s="702"/>
      <c r="C18" s="146" t="s">
        <v>175</v>
      </c>
      <c r="D18" s="147"/>
      <c r="E18" s="703" t="s">
        <v>175</v>
      </c>
      <c r="F18" s="703"/>
      <c r="G18" s="703"/>
    </row>
    <row r="19" spans="2:12" s="138" customFormat="1">
      <c r="B19" s="702"/>
      <c r="C19" s="148" t="s">
        <v>179</v>
      </c>
      <c r="D19" s="147"/>
      <c r="E19" s="148" t="s">
        <v>176</v>
      </c>
      <c r="F19" s="148" t="s">
        <v>177</v>
      </c>
      <c r="G19" s="148" t="s">
        <v>178</v>
      </c>
      <c r="I19" s="138">
        <f>1555*1.0244</f>
        <v>1592.942</v>
      </c>
    </row>
    <row r="20" spans="2:12" ht="15">
      <c r="B20" s="142" t="s">
        <v>25</v>
      </c>
      <c r="C20" s="456">
        <v>546.26</v>
      </c>
      <c r="D20" s="140"/>
      <c r="E20" s="143">
        <v>5078.7700000000004</v>
      </c>
      <c r="F20" s="143">
        <v>1900</v>
      </c>
      <c r="G20" s="143">
        <v>1900</v>
      </c>
      <c r="H20" s="299"/>
      <c r="I20" s="294"/>
      <c r="J20" s="294"/>
      <c r="K20" s="294"/>
      <c r="L20" s="294"/>
    </row>
    <row r="21" spans="2:12" ht="15">
      <c r="B21" s="142" t="s">
        <v>186</v>
      </c>
      <c r="C21" s="456">
        <f>+C20</f>
        <v>546.26</v>
      </c>
      <c r="D21" s="140"/>
      <c r="E21" s="143">
        <f t="shared" ref="E21:G22" si="0">+E20</f>
        <v>5078.7700000000004</v>
      </c>
      <c r="F21" s="143">
        <f t="shared" si="0"/>
        <v>1900</v>
      </c>
      <c r="G21" s="143">
        <f t="shared" si="0"/>
        <v>1900</v>
      </c>
      <c r="H21" s="299">
        <f>+C21*16%</f>
        <v>87.401600000000002</v>
      </c>
      <c r="I21" s="294">
        <f>+H21*92%</f>
        <v>80.409472000000008</v>
      </c>
      <c r="J21" s="294"/>
      <c r="K21" s="294"/>
      <c r="L21" s="294"/>
    </row>
    <row r="22" spans="2:12" ht="15">
      <c r="B22" s="142" t="s">
        <v>187</v>
      </c>
      <c r="C22" s="456">
        <f>+C21</f>
        <v>546.26</v>
      </c>
      <c r="D22" s="140"/>
      <c r="E22" s="143">
        <f t="shared" si="0"/>
        <v>5078.7700000000004</v>
      </c>
      <c r="F22" s="143">
        <f t="shared" si="0"/>
        <v>1900</v>
      </c>
      <c r="G22" s="143">
        <f t="shared" si="0"/>
        <v>1900</v>
      </c>
      <c r="H22" s="299">
        <f>+C22*16%</f>
        <v>87.401600000000002</v>
      </c>
      <c r="I22" s="294">
        <f>+H22*92%</f>
        <v>80.409472000000008</v>
      </c>
      <c r="J22" s="294"/>
      <c r="K22" s="294"/>
      <c r="L22" s="294"/>
    </row>
    <row r="23" spans="2:12" ht="15">
      <c r="B23" s="142" t="s">
        <v>10</v>
      </c>
      <c r="C23" s="456">
        <v>1036.78</v>
      </c>
      <c r="D23" s="140"/>
      <c r="E23" s="143">
        <v>7107.81</v>
      </c>
      <c r="F23" s="143" t="s">
        <v>158</v>
      </c>
      <c r="G23" s="143" t="s">
        <v>158</v>
      </c>
      <c r="H23" s="299">
        <f>+C23*90%</f>
        <v>933.10199999999998</v>
      </c>
      <c r="I23" s="294">
        <f>+C23*92%</f>
        <v>953.83760000000007</v>
      </c>
      <c r="J23" s="294"/>
      <c r="K23" s="294"/>
      <c r="L23" s="294"/>
    </row>
    <row r="24" spans="2:12" ht="15">
      <c r="B24" s="142" t="s">
        <v>350</v>
      </c>
      <c r="C24" s="456">
        <v>1076.06</v>
      </c>
      <c r="D24" s="140"/>
      <c r="E24" s="465"/>
      <c r="F24" s="465"/>
      <c r="G24" s="465"/>
      <c r="H24" s="299"/>
      <c r="I24" s="294"/>
      <c r="J24" s="294"/>
      <c r="K24" s="294"/>
      <c r="L24" s="294"/>
    </row>
    <row r="25" spans="2:12" ht="15">
      <c r="B25" s="142" t="s">
        <v>355</v>
      </c>
      <c r="C25" s="456">
        <v>1138.57</v>
      </c>
      <c r="D25" s="516" t="s">
        <v>619</v>
      </c>
      <c r="E25" s="465"/>
      <c r="F25" s="465"/>
      <c r="G25" s="465"/>
      <c r="H25" s="299"/>
      <c r="I25" s="294"/>
      <c r="J25" s="294"/>
      <c r="K25" s="294"/>
      <c r="L25" s="294"/>
    </row>
    <row r="26" spans="2:12" ht="6.75" customHeight="1">
      <c r="C26" s="140"/>
      <c r="D26" s="140"/>
      <c r="E26" s="140"/>
      <c r="F26" s="140"/>
      <c r="G26" s="140"/>
      <c r="H26" s="294"/>
      <c r="I26" s="294"/>
      <c r="J26" s="294"/>
      <c r="K26" s="294"/>
      <c r="L26" s="294"/>
    </row>
    <row r="27" spans="2:12" ht="15">
      <c r="B27" s="142" t="s">
        <v>170</v>
      </c>
      <c r="C27" s="456">
        <v>522.85</v>
      </c>
      <c r="D27" s="140"/>
      <c r="E27" s="143">
        <v>5024.59</v>
      </c>
      <c r="F27" s="143">
        <v>1900</v>
      </c>
      <c r="G27" s="143">
        <v>3400</v>
      </c>
      <c r="H27" s="299"/>
      <c r="I27" s="294"/>
      <c r="J27" s="294"/>
      <c r="K27" s="294"/>
      <c r="L27" s="294"/>
    </row>
    <row r="28" spans="2:12">
      <c r="B28" s="142" t="s">
        <v>171</v>
      </c>
      <c r="C28" s="457">
        <f>+C27</f>
        <v>522.85</v>
      </c>
      <c r="D28" s="140"/>
      <c r="E28" s="143">
        <f t="shared" ref="E28:G31" si="1">+E27</f>
        <v>5024.59</v>
      </c>
      <c r="F28" s="143">
        <f t="shared" si="1"/>
        <v>1900</v>
      </c>
      <c r="G28" s="143">
        <f t="shared" si="1"/>
        <v>3400</v>
      </c>
      <c r="H28" s="294"/>
      <c r="I28" s="294"/>
      <c r="J28" s="294"/>
      <c r="K28" s="294"/>
      <c r="L28" s="294"/>
    </row>
    <row r="29" spans="2:12">
      <c r="B29" s="142" t="s">
        <v>172</v>
      </c>
      <c r="C29" s="457">
        <f>+C28</f>
        <v>522.85</v>
      </c>
      <c r="D29" s="140"/>
      <c r="E29" s="143">
        <f t="shared" si="1"/>
        <v>5024.59</v>
      </c>
      <c r="F29" s="143">
        <f t="shared" si="1"/>
        <v>1900</v>
      </c>
      <c r="G29" s="143">
        <f t="shared" si="1"/>
        <v>3400</v>
      </c>
      <c r="J29" s="294"/>
      <c r="K29" s="294"/>
      <c r="L29" s="294"/>
    </row>
    <row r="30" spans="2:12">
      <c r="B30" s="142" t="s">
        <v>173</v>
      </c>
      <c r="C30" s="457">
        <f>+C29</f>
        <v>522.85</v>
      </c>
      <c r="D30" s="140"/>
      <c r="E30" s="143">
        <f t="shared" si="1"/>
        <v>5024.59</v>
      </c>
      <c r="F30" s="143">
        <f t="shared" si="1"/>
        <v>1900</v>
      </c>
      <c r="G30" s="143">
        <f t="shared" si="1"/>
        <v>3400</v>
      </c>
      <c r="H30" s="294">
        <f>+C30*98%</f>
        <v>512.39300000000003</v>
      </c>
      <c r="I30" s="294">
        <f>+C30*92%</f>
        <v>481.02200000000005</v>
      </c>
    </row>
    <row r="31" spans="2:12">
      <c r="B31" s="142" t="s">
        <v>174</v>
      </c>
      <c r="C31" s="457">
        <f>+C30</f>
        <v>522.85</v>
      </c>
      <c r="D31" s="140"/>
      <c r="E31" s="143">
        <f t="shared" si="1"/>
        <v>5024.59</v>
      </c>
      <c r="F31" s="143">
        <f t="shared" si="1"/>
        <v>1900</v>
      </c>
      <c r="G31" s="143">
        <f t="shared" si="1"/>
        <v>3400</v>
      </c>
      <c r="H31" s="294">
        <f>+C29*0.96</f>
        <v>501.93599999999998</v>
      </c>
      <c r="I31" s="294">
        <f>+C31*90%</f>
        <v>470.56500000000005</v>
      </c>
    </row>
    <row r="32" spans="2:12">
      <c r="B32" s="142" t="s">
        <v>298</v>
      </c>
      <c r="C32" s="457">
        <f>C27</f>
        <v>522.85</v>
      </c>
    </row>
    <row r="33" spans="2:7">
      <c r="B33" s="142" t="s">
        <v>349</v>
      </c>
      <c r="C33" s="457">
        <v>666.38</v>
      </c>
    </row>
    <row r="34" spans="2:7">
      <c r="B34" s="142" t="s">
        <v>351</v>
      </c>
      <c r="C34" s="456">
        <v>712.94</v>
      </c>
    </row>
    <row r="36" spans="2:7">
      <c r="B36" s="142" t="s">
        <v>188</v>
      </c>
      <c r="C36" s="144" t="s">
        <v>11</v>
      </c>
      <c r="D36" s="140"/>
      <c r="E36" s="143"/>
      <c r="F36" s="143"/>
      <c r="G36" s="143"/>
    </row>
    <row r="37" spans="2:7">
      <c r="B37" s="142" t="s">
        <v>189</v>
      </c>
      <c r="C37" s="144" t="s">
        <v>11</v>
      </c>
      <c r="D37" s="140"/>
      <c r="E37" s="143"/>
      <c r="F37" s="143"/>
      <c r="G37" s="143"/>
    </row>
    <row r="39" spans="2:7">
      <c r="B39" s="142" t="s">
        <v>268</v>
      </c>
      <c r="C39" s="143">
        <v>0.19</v>
      </c>
    </row>
    <row r="40" spans="2:7">
      <c r="C40" s="295"/>
    </row>
    <row r="41" spans="2:7">
      <c r="B41" s="462" t="s">
        <v>680</v>
      </c>
      <c r="C41" s="470" t="s">
        <v>159</v>
      </c>
    </row>
    <row r="42" spans="2:7">
      <c r="B42" s="462"/>
      <c r="C42" s="470" t="s">
        <v>159</v>
      </c>
    </row>
    <row r="43" spans="2:7">
      <c r="B43" s="702" t="str">
        <f>B17</f>
        <v>01 DE SEPTIEMBRE 2020</v>
      </c>
      <c r="C43" s="468" t="s">
        <v>363</v>
      </c>
    </row>
    <row r="44" spans="2:7">
      <c r="B44" s="702"/>
      <c r="C44" s="469" t="s">
        <v>175</v>
      </c>
    </row>
    <row r="45" spans="2:7">
      <c r="B45" s="702"/>
      <c r="C45" s="148" t="s">
        <v>179</v>
      </c>
    </row>
    <row r="46" spans="2:7">
      <c r="B46" s="142" t="s">
        <v>368</v>
      </c>
      <c r="C46" s="515">
        <v>155</v>
      </c>
    </row>
    <row r="47" spans="2:7">
      <c r="B47" s="142" t="s">
        <v>18</v>
      </c>
      <c r="C47" s="515">
        <v>174</v>
      </c>
    </row>
    <row r="48" spans="2:7">
      <c r="B48" s="142" t="s">
        <v>369</v>
      </c>
      <c r="C48" s="515">
        <v>170</v>
      </c>
    </row>
    <row r="49" spans="2:3">
      <c r="B49" s="142" t="s">
        <v>370</v>
      </c>
      <c r="C49" s="515">
        <v>203</v>
      </c>
    </row>
  </sheetData>
  <sheetProtection password="C752" sheet="1" objects="1" scenarios="1"/>
  <mergeCells count="4">
    <mergeCell ref="E17:G17"/>
    <mergeCell ref="E18:G18"/>
    <mergeCell ref="B17:B19"/>
    <mergeCell ref="B43:B45"/>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17">
    <tabColor rgb="FFFF0000"/>
  </sheetPr>
  <dimension ref="A1:IB178"/>
  <sheetViews>
    <sheetView workbookViewId="0">
      <selection activeCell="C29" sqref="C29"/>
    </sheetView>
  </sheetViews>
  <sheetFormatPr baseColWidth="10" defaultColWidth="10.85546875" defaultRowHeight="12.75"/>
  <cols>
    <col min="1" max="1" width="6.28515625" style="191" customWidth="1"/>
    <col min="2" max="2" width="37.7109375" style="191" customWidth="1"/>
    <col min="3" max="3" width="9" style="191" hidden="1" customWidth="1"/>
    <col min="4" max="4" width="7.42578125" style="191" hidden="1" customWidth="1"/>
    <col min="5" max="5" width="11.7109375" style="191" hidden="1" customWidth="1"/>
    <col min="6" max="7" width="8.7109375" style="191" hidden="1" customWidth="1"/>
    <col min="8" max="8" width="9.85546875" style="191" hidden="1" customWidth="1"/>
    <col min="9" max="9" width="11.28515625" style="191" hidden="1" customWidth="1"/>
    <col min="10" max="10" width="9" style="191" hidden="1" customWidth="1"/>
    <col min="11" max="11" width="9.28515625" style="191" hidden="1" customWidth="1"/>
    <col min="12" max="12" width="12.42578125" style="191" hidden="1" customWidth="1"/>
    <col min="13" max="14" width="11.42578125" style="191" hidden="1" customWidth="1"/>
    <col min="15" max="15" width="15.42578125" style="191" hidden="1" customWidth="1"/>
    <col min="16" max="17" width="11.42578125" style="191" hidden="1" customWidth="1"/>
    <col min="18" max="28" width="11.42578125" style="190" hidden="1" customWidth="1"/>
    <col min="29" max="30" width="10.85546875" style="190" hidden="1" customWidth="1"/>
    <col min="31" max="32" width="10.85546875" style="191" hidden="1" customWidth="1"/>
    <col min="33" max="35" width="10.85546875" style="191" customWidth="1"/>
    <col min="36" max="38" width="10.85546875" style="191"/>
    <col min="39" max="39" width="36.140625" style="191" bestFit="1" customWidth="1"/>
    <col min="40" max="42" width="10.85546875" style="191"/>
    <col min="43" max="43" width="36.140625" style="191" bestFit="1" customWidth="1"/>
    <col min="44" max="16384" width="10.85546875" style="191"/>
  </cols>
  <sheetData>
    <row r="1" spans="1:61" ht="15.75" thickBot="1">
      <c r="A1" s="187"/>
      <c r="B1" s="188"/>
      <c r="C1" s="188"/>
      <c r="D1" s="188"/>
      <c r="E1" s="188"/>
      <c r="F1" s="188"/>
      <c r="G1" s="188"/>
      <c r="H1" s="188"/>
      <c r="I1" s="189"/>
      <c r="J1" s="189"/>
      <c r="K1" s="190"/>
      <c r="L1" s="190"/>
      <c r="M1" s="190"/>
      <c r="N1" s="190"/>
      <c r="O1" s="190"/>
      <c r="P1" s="190"/>
      <c r="Q1" s="190"/>
      <c r="AA1" s="736" t="s">
        <v>68</v>
      </c>
      <c r="AB1" s="736"/>
      <c r="AC1" s="736"/>
      <c r="AD1" s="736" t="s">
        <v>69</v>
      </c>
      <c r="AE1" s="736"/>
      <c r="AF1" s="736"/>
      <c r="AG1" s="736" t="s">
        <v>167</v>
      </c>
      <c r="AH1" s="736"/>
      <c r="AI1" s="736"/>
      <c r="AJ1" s="736" t="s">
        <v>193</v>
      </c>
      <c r="AK1" s="736"/>
      <c r="AL1" s="736"/>
      <c r="AM1" s="188"/>
      <c r="AN1" s="738" t="s">
        <v>275</v>
      </c>
      <c r="AO1" s="738"/>
      <c r="AP1" s="738"/>
      <c r="AQ1" s="188"/>
      <c r="AR1" s="717" t="s">
        <v>340</v>
      </c>
      <c r="AS1" s="718"/>
      <c r="AT1" s="719"/>
      <c r="AU1" s="717" t="s">
        <v>342</v>
      </c>
      <c r="AV1" s="718"/>
      <c r="AW1" s="719"/>
      <c r="AX1" s="717" t="s">
        <v>356</v>
      </c>
      <c r="AY1" s="718"/>
      <c r="AZ1" s="719"/>
      <c r="BA1" s="717" t="s">
        <v>372</v>
      </c>
      <c r="BB1" s="718"/>
      <c r="BC1" s="719"/>
      <c r="BD1" s="717" t="s">
        <v>618</v>
      </c>
      <c r="BE1" s="718"/>
      <c r="BF1" s="719"/>
      <c r="BG1" s="717" t="s">
        <v>625</v>
      </c>
      <c r="BH1" s="718"/>
      <c r="BI1" s="719"/>
    </row>
    <row r="2" spans="1:61" ht="15" customHeight="1">
      <c r="A2" s="731" t="s">
        <v>70</v>
      </c>
      <c r="B2" s="732"/>
      <c r="C2" s="192"/>
      <c r="D2" s="192"/>
      <c r="E2" s="192"/>
      <c r="F2" s="192"/>
      <c r="G2" s="192"/>
      <c r="H2" s="192"/>
      <c r="I2" s="192"/>
      <c r="J2" s="192"/>
      <c r="K2" s="192"/>
      <c r="L2" s="192"/>
      <c r="M2" s="192"/>
      <c r="N2" s="192"/>
      <c r="O2" s="192"/>
      <c r="P2" s="192"/>
      <c r="Q2" s="192"/>
      <c r="R2" s="193"/>
      <c r="S2" s="193"/>
      <c r="T2" s="193"/>
      <c r="U2" s="194"/>
      <c r="V2" s="195" t="s">
        <v>71</v>
      </c>
      <c r="W2" s="196">
        <v>0.04</v>
      </c>
      <c r="X2" s="194"/>
      <c r="Y2" s="197" t="s">
        <v>72</v>
      </c>
      <c r="Z2" s="196">
        <v>0.04</v>
      </c>
      <c r="AA2" s="194" t="s">
        <v>73</v>
      </c>
      <c r="AB2" s="197"/>
      <c r="AC2" s="196">
        <v>0.05</v>
      </c>
      <c r="AD2" s="194" t="s">
        <v>73</v>
      </c>
      <c r="AE2" s="197"/>
      <c r="AF2" s="196">
        <v>0.03</v>
      </c>
      <c r="AG2" s="194" t="s">
        <v>73</v>
      </c>
      <c r="AH2" s="197"/>
      <c r="AI2" s="196">
        <v>0.03</v>
      </c>
      <c r="AJ2" s="194" t="s">
        <v>73</v>
      </c>
      <c r="AK2" s="197"/>
      <c r="AL2" s="196">
        <v>0.03</v>
      </c>
      <c r="AM2" s="384"/>
      <c r="AN2" s="739" t="s">
        <v>73</v>
      </c>
      <c r="AO2" s="740"/>
      <c r="AP2" s="743">
        <v>0.03</v>
      </c>
      <c r="AQ2" s="452"/>
      <c r="AR2" s="720" t="s">
        <v>73</v>
      </c>
      <c r="AS2" s="721"/>
      <c r="AT2" s="724">
        <v>0.03</v>
      </c>
      <c r="AU2" s="720" t="s">
        <v>73</v>
      </c>
      <c r="AV2" s="721"/>
      <c r="AW2" s="724">
        <v>0.03</v>
      </c>
      <c r="AX2" s="720" t="s">
        <v>73</v>
      </c>
      <c r="AY2" s="721"/>
      <c r="AZ2" s="724">
        <v>0.03</v>
      </c>
      <c r="BA2" s="720" t="s">
        <v>73</v>
      </c>
      <c r="BB2" s="721"/>
      <c r="BC2" s="724">
        <v>0.03</v>
      </c>
      <c r="BD2" s="720" t="s">
        <v>73</v>
      </c>
      <c r="BE2" s="721"/>
      <c r="BF2" s="724">
        <v>0.03</v>
      </c>
      <c r="BG2" s="720" t="s">
        <v>73</v>
      </c>
      <c r="BH2" s="721"/>
      <c r="BI2" s="724">
        <v>0.03</v>
      </c>
    </row>
    <row r="3" spans="1:61" ht="55.5" customHeight="1" thickBot="1">
      <c r="A3" s="733"/>
      <c r="B3" s="734"/>
      <c r="C3" s="728" t="s">
        <v>74</v>
      </c>
      <c r="D3" s="729"/>
      <c r="E3" s="730"/>
      <c r="F3" s="728" t="s">
        <v>75</v>
      </c>
      <c r="G3" s="729"/>
      <c r="H3" s="730"/>
      <c r="I3" s="728" t="s">
        <v>76</v>
      </c>
      <c r="J3" s="729"/>
      <c r="K3" s="730"/>
      <c r="L3" s="728" t="s">
        <v>77</v>
      </c>
      <c r="M3" s="729"/>
      <c r="N3" s="730"/>
      <c r="O3" s="728" t="s">
        <v>78</v>
      </c>
      <c r="P3" s="729"/>
      <c r="Q3" s="730"/>
      <c r="R3" s="728" t="s">
        <v>79</v>
      </c>
      <c r="S3" s="729"/>
      <c r="T3" s="730"/>
      <c r="U3" s="728" t="s">
        <v>80</v>
      </c>
      <c r="V3" s="729"/>
      <c r="W3" s="730"/>
      <c r="X3" s="728" t="s">
        <v>81</v>
      </c>
      <c r="Y3" s="729"/>
      <c r="Z3" s="730"/>
      <c r="AA3" s="728"/>
      <c r="AB3" s="729"/>
      <c r="AC3" s="730"/>
      <c r="AD3" s="728"/>
      <c r="AE3" s="729"/>
      <c r="AF3" s="730"/>
      <c r="AG3" s="728"/>
      <c r="AH3" s="729"/>
      <c r="AI3" s="730"/>
      <c r="AJ3" s="728"/>
      <c r="AK3" s="729"/>
      <c r="AL3" s="730"/>
      <c r="AM3" s="385"/>
      <c r="AN3" s="741"/>
      <c r="AO3" s="742"/>
      <c r="AP3" s="744"/>
      <c r="AQ3" s="453"/>
      <c r="AR3" s="722"/>
      <c r="AS3" s="723"/>
      <c r="AT3" s="725"/>
      <c r="AU3" s="722"/>
      <c r="AV3" s="723"/>
      <c r="AW3" s="725"/>
      <c r="AX3" s="722"/>
      <c r="AY3" s="723"/>
      <c r="AZ3" s="725"/>
      <c r="BA3" s="722"/>
      <c r="BB3" s="723"/>
      <c r="BC3" s="725"/>
      <c r="BD3" s="722"/>
      <c r="BE3" s="723"/>
      <c r="BF3" s="725"/>
      <c r="BG3" s="722"/>
      <c r="BH3" s="723"/>
      <c r="BI3" s="725"/>
    </row>
    <row r="4" spans="1:61" ht="48.75" thickBot="1">
      <c r="A4" s="198"/>
      <c r="B4" s="199"/>
      <c r="C4" s="200" t="s">
        <v>82</v>
      </c>
      <c r="D4" s="200" t="s">
        <v>83</v>
      </c>
      <c r="E4" s="200" t="s">
        <v>84</v>
      </c>
      <c r="F4" s="201" t="s">
        <v>85</v>
      </c>
      <c r="G4" s="201" t="s">
        <v>83</v>
      </c>
      <c r="H4" s="201" t="s">
        <v>84</v>
      </c>
      <c r="I4" s="201" t="s">
        <v>86</v>
      </c>
      <c r="J4" s="201" t="s">
        <v>83</v>
      </c>
      <c r="K4" s="201" t="s">
        <v>84</v>
      </c>
      <c r="L4" s="201" t="s">
        <v>87</v>
      </c>
      <c r="M4" s="201" t="s">
        <v>83</v>
      </c>
      <c r="N4" s="201" t="s">
        <v>84</v>
      </c>
      <c r="O4" s="201" t="s">
        <v>87</v>
      </c>
      <c r="P4" s="201" t="s">
        <v>83</v>
      </c>
      <c r="Q4" s="201" t="s">
        <v>84</v>
      </c>
      <c r="R4" s="201" t="s">
        <v>87</v>
      </c>
      <c r="S4" s="201" t="s">
        <v>83</v>
      </c>
      <c r="T4" s="201" t="s">
        <v>84</v>
      </c>
      <c r="U4" s="201" t="s">
        <v>88</v>
      </c>
      <c r="V4" s="201" t="s">
        <v>83</v>
      </c>
      <c r="W4" s="201" t="s">
        <v>84</v>
      </c>
      <c r="X4" s="201" t="s">
        <v>88</v>
      </c>
      <c r="Y4" s="201" t="s">
        <v>83</v>
      </c>
      <c r="Z4" s="201" t="s">
        <v>84</v>
      </c>
      <c r="AA4" s="201" t="s">
        <v>88</v>
      </c>
      <c r="AB4" s="201" t="s">
        <v>83</v>
      </c>
      <c r="AC4" s="201" t="s">
        <v>84</v>
      </c>
      <c r="AD4" s="201" t="s">
        <v>89</v>
      </c>
      <c r="AE4" s="202" t="s">
        <v>83</v>
      </c>
      <c r="AF4" s="201" t="s">
        <v>84</v>
      </c>
      <c r="AG4" s="201" t="s">
        <v>194</v>
      </c>
      <c r="AH4" s="202" t="s">
        <v>83</v>
      </c>
      <c r="AI4" s="201" t="s">
        <v>84</v>
      </c>
      <c r="AJ4" s="201" t="s">
        <v>207</v>
      </c>
      <c r="AK4" s="202" t="s">
        <v>83</v>
      </c>
      <c r="AL4" s="201" t="s">
        <v>84</v>
      </c>
      <c r="AM4" s="386"/>
      <c r="AN4" s="387" t="s">
        <v>276</v>
      </c>
      <c r="AO4" s="387" t="s">
        <v>83</v>
      </c>
      <c r="AP4" s="387" t="s">
        <v>84</v>
      </c>
      <c r="AQ4" s="454"/>
      <c r="AR4" s="455" t="s">
        <v>276</v>
      </c>
      <c r="AS4" s="455" t="s">
        <v>83</v>
      </c>
      <c r="AT4" s="455" t="s">
        <v>84</v>
      </c>
      <c r="AU4" s="455" t="s">
        <v>276</v>
      </c>
      <c r="AV4" s="455" t="s">
        <v>83</v>
      </c>
      <c r="AW4" s="455" t="s">
        <v>84</v>
      </c>
      <c r="AX4" s="455" t="s">
        <v>276</v>
      </c>
      <c r="AY4" s="455" t="s">
        <v>83</v>
      </c>
      <c r="AZ4" s="455" t="s">
        <v>84</v>
      </c>
      <c r="BA4" s="455" t="s">
        <v>276</v>
      </c>
      <c r="BB4" s="455" t="s">
        <v>83</v>
      </c>
      <c r="BC4" s="455" t="s">
        <v>84</v>
      </c>
      <c r="BD4" s="455" t="s">
        <v>276</v>
      </c>
      <c r="BE4" s="455" t="s">
        <v>83</v>
      </c>
      <c r="BF4" s="455" t="s">
        <v>84</v>
      </c>
      <c r="BG4" s="455" t="s">
        <v>276</v>
      </c>
      <c r="BH4" s="455" t="s">
        <v>83</v>
      </c>
      <c r="BI4" s="455" t="s">
        <v>84</v>
      </c>
    </row>
    <row r="5" spans="1:61" ht="15">
      <c r="A5" s="203"/>
      <c r="B5" s="149" t="s">
        <v>90</v>
      </c>
      <c r="C5" s="153">
        <v>12</v>
      </c>
      <c r="D5" s="154">
        <v>12</v>
      </c>
      <c r="E5" s="155">
        <v>504</v>
      </c>
      <c r="F5" s="156">
        <v>34</v>
      </c>
      <c r="G5" s="154">
        <v>34</v>
      </c>
      <c r="H5" s="155">
        <v>1428</v>
      </c>
      <c r="I5" s="154">
        <v>35.869999999999997</v>
      </c>
      <c r="J5" s="154">
        <v>35.869999999999997</v>
      </c>
      <c r="K5" s="155">
        <v>1506.54</v>
      </c>
      <c r="L5" s="154">
        <v>37.663499999999999</v>
      </c>
      <c r="M5" s="154">
        <v>37.663499999999999</v>
      </c>
      <c r="N5" s="155">
        <v>1581.867</v>
      </c>
      <c r="O5" s="154">
        <v>39.358357499999997</v>
      </c>
      <c r="P5" s="154">
        <v>39.358357499999997</v>
      </c>
      <c r="Q5" s="155">
        <v>1653.0510149999998</v>
      </c>
      <c r="R5" s="154">
        <v>39.358357499999997</v>
      </c>
      <c r="S5" s="154">
        <v>39.358357499999997</v>
      </c>
      <c r="T5" s="155">
        <v>1653.0510149999998</v>
      </c>
      <c r="U5" s="154">
        <v>40.932691800000001</v>
      </c>
      <c r="V5" s="154">
        <v>40.932691800000001</v>
      </c>
      <c r="W5" s="155">
        <v>1719.1730556</v>
      </c>
      <c r="X5" s="154"/>
      <c r="Y5" s="154"/>
      <c r="Z5" s="155"/>
      <c r="AA5" s="154"/>
      <c r="AB5" s="154"/>
      <c r="AC5" s="155"/>
      <c r="AD5" s="154"/>
      <c r="AE5" s="158"/>
      <c r="AF5" s="155"/>
      <c r="AG5" s="154"/>
      <c r="AH5" s="158"/>
      <c r="AI5" s="155"/>
      <c r="AJ5" s="154"/>
      <c r="AK5" s="158"/>
      <c r="AL5" s="155"/>
      <c r="AM5" s="149" t="s">
        <v>90</v>
      </c>
      <c r="AN5" s="154"/>
      <c r="AO5" s="158"/>
      <c r="AP5" s="155"/>
      <c r="AQ5" s="149" t="s">
        <v>90</v>
      </c>
      <c r="AR5" s="154"/>
      <c r="AS5" s="158"/>
      <c r="AT5" s="155"/>
      <c r="AU5" s="154"/>
      <c r="AV5" s="158"/>
      <c r="AW5" s="155"/>
      <c r="AX5" s="154"/>
      <c r="AY5" s="158"/>
      <c r="AZ5" s="155"/>
      <c r="BA5" s="154"/>
      <c r="BB5" s="158"/>
      <c r="BC5" s="155"/>
      <c r="BD5" s="154"/>
      <c r="BE5" s="158"/>
      <c r="BF5" s="155"/>
      <c r="BG5" s="154"/>
      <c r="BH5" s="158"/>
      <c r="BI5" s="155"/>
    </row>
    <row r="6" spans="1:61" ht="15" thickBot="1">
      <c r="A6" s="159">
        <v>420</v>
      </c>
      <c r="B6" s="150" t="s">
        <v>91</v>
      </c>
      <c r="C6" s="160">
        <v>15</v>
      </c>
      <c r="D6" s="161">
        <v>15</v>
      </c>
      <c r="E6" s="162">
        <v>630</v>
      </c>
      <c r="F6" s="163">
        <v>34</v>
      </c>
      <c r="G6" s="161">
        <v>34</v>
      </c>
      <c r="H6" s="162">
        <v>1428</v>
      </c>
      <c r="I6" s="161">
        <v>35.869999999999997</v>
      </c>
      <c r="J6" s="161">
        <v>35.869999999999997</v>
      </c>
      <c r="K6" s="162">
        <v>1506.54</v>
      </c>
      <c r="L6" s="161">
        <v>37.663499999999999</v>
      </c>
      <c r="M6" s="161">
        <v>37.663499999999999</v>
      </c>
      <c r="N6" s="162">
        <v>1581.867</v>
      </c>
      <c r="O6" s="161">
        <v>39.358357499999997</v>
      </c>
      <c r="P6" s="161">
        <v>39.358357499999997</v>
      </c>
      <c r="Q6" s="162">
        <v>1653.0510149999998</v>
      </c>
      <c r="R6" s="161">
        <v>39.358357499999997</v>
      </c>
      <c r="S6" s="161">
        <v>39.358357499999997</v>
      </c>
      <c r="T6" s="162">
        <v>1653.0510149999998</v>
      </c>
      <c r="U6" s="161">
        <v>40.932691800000001</v>
      </c>
      <c r="V6" s="161">
        <v>40.932691800000001</v>
      </c>
      <c r="W6" s="162">
        <v>1719.1730556</v>
      </c>
      <c r="X6" s="161"/>
      <c r="Y6" s="161"/>
      <c r="Z6" s="162"/>
      <c r="AA6" s="161"/>
      <c r="AB6" s="161"/>
      <c r="AC6" s="162"/>
      <c r="AD6" s="161"/>
      <c r="AE6" s="165"/>
      <c r="AF6" s="162"/>
      <c r="AG6" s="161"/>
      <c r="AH6" s="165"/>
      <c r="AI6" s="162"/>
      <c r="AJ6" s="161"/>
      <c r="AK6" s="165"/>
      <c r="AL6" s="162"/>
      <c r="AM6" s="150" t="s">
        <v>91</v>
      </c>
      <c r="AN6" s="161"/>
      <c r="AO6" s="165"/>
      <c r="AP6" s="162"/>
      <c r="AQ6" s="150" t="s">
        <v>91</v>
      </c>
      <c r="AR6" s="161"/>
      <c r="AS6" s="165"/>
      <c r="AT6" s="162"/>
      <c r="AU6" s="161"/>
      <c r="AV6" s="165"/>
      <c r="AW6" s="162"/>
      <c r="AX6" s="161"/>
      <c r="AY6" s="165"/>
      <c r="AZ6" s="162"/>
      <c r="BA6" s="161"/>
      <c r="BB6" s="165"/>
      <c r="BC6" s="162"/>
      <c r="BD6" s="161"/>
      <c r="BE6" s="165"/>
      <c r="BF6" s="162"/>
      <c r="BG6" s="161"/>
      <c r="BH6" s="165"/>
      <c r="BI6" s="162"/>
    </row>
    <row r="7" spans="1:61" ht="14.25">
      <c r="A7" s="159"/>
      <c r="B7" s="204" t="s">
        <v>92</v>
      </c>
      <c r="C7" s="160"/>
      <c r="D7" s="161"/>
      <c r="E7" s="162"/>
      <c r="F7" s="163"/>
      <c r="G7" s="161"/>
      <c r="H7" s="162"/>
      <c r="I7" s="161"/>
      <c r="J7" s="161"/>
      <c r="K7" s="162"/>
      <c r="L7" s="161"/>
      <c r="M7" s="161"/>
      <c r="N7" s="162"/>
      <c r="O7" s="161"/>
      <c r="P7" s="161"/>
      <c r="Q7" s="162"/>
      <c r="R7" s="161"/>
      <c r="S7" s="161"/>
      <c r="T7" s="162"/>
      <c r="U7" s="161">
        <v>56.7</v>
      </c>
      <c r="V7" s="161">
        <v>56.7</v>
      </c>
      <c r="W7" s="162">
        <v>2381.4</v>
      </c>
      <c r="X7" s="161">
        <v>58.968000000000004</v>
      </c>
      <c r="Y7" s="161">
        <v>58.968000000000004</v>
      </c>
      <c r="Z7" s="162">
        <v>2476.6559999999999</v>
      </c>
      <c r="AA7" s="161">
        <v>61.916400000000003</v>
      </c>
      <c r="AB7" s="161">
        <v>61.916400000000003</v>
      </c>
      <c r="AC7" s="162">
        <v>2600.4888000000001</v>
      </c>
      <c r="AD7" s="161">
        <v>63.78</v>
      </c>
      <c r="AE7" s="165">
        <v>63.78</v>
      </c>
      <c r="AF7" s="162">
        <f>AE7*42</f>
        <v>2678.76</v>
      </c>
      <c r="AG7" s="161">
        <f>AD7*(1+$AI$2)</f>
        <v>65.693399999999997</v>
      </c>
      <c r="AH7" s="165">
        <f>AE7*(1+$AI$2)</f>
        <v>65.693399999999997</v>
      </c>
      <c r="AI7" s="162">
        <f>AH7*42</f>
        <v>2759.1228000000001</v>
      </c>
      <c r="AJ7" s="161">
        <f>AG7*(1+$AI$2)</f>
        <v>67.664202000000003</v>
      </c>
      <c r="AK7" s="165">
        <f>AH7*(1+$AI$2)</f>
        <v>67.664202000000003</v>
      </c>
      <c r="AL7" s="162">
        <f>AK7*42</f>
        <v>2841.8964840000003</v>
      </c>
      <c r="AM7" s="370" t="s">
        <v>92</v>
      </c>
      <c r="AN7" s="388">
        <v>69.694128060000011</v>
      </c>
      <c r="AO7" s="389">
        <v>69.694128060000011</v>
      </c>
      <c r="AP7" s="390">
        <v>2927.1533785200004</v>
      </c>
      <c r="AQ7" s="370" t="s">
        <v>92</v>
      </c>
      <c r="AR7" s="388">
        <f>AN7*(1+$AT$2)</f>
        <v>71.784951901800014</v>
      </c>
      <c r="AS7" s="389">
        <f>AO7*(1+$AT$2)</f>
        <v>71.784951901800014</v>
      </c>
      <c r="AT7" s="390">
        <f>AP7*(1+$AT$2)</f>
        <v>3014.9679798756006</v>
      </c>
      <c r="AU7" s="388">
        <f>AR7*(1+$AW$2)</f>
        <v>73.938500458854023</v>
      </c>
      <c r="AV7" s="389">
        <f>AS7*(1+$AW$2)</f>
        <v>73.938500458854023</v>
      </c>
      <c r="AW7" s="390">
        <f>AT7*(1+$AW$2)</f>
        <v>3105.4170192718689</v>
      </c>
      <c r="AX7" s="388">
        <f>AU7*(1+$AZ$2)</f>
        <v>76.156655472619647</v>
      </c>
      <c r="AY7" s="389">
        <f>AV7*(1+$AZ$2)</f>
        <v>76.156655472619647</v>
      </c>
      <c r="AZ7" s="390">
        <f>AW7*(1+$AZ$2)</f>
        <v>3198.5795298500252</v>
      </c>
      <c r="BA7" s="388">
        <f>AX7*(1+$BC$2)</f>
        <v>78.441355136798236</v>
      </c>
      <c r="BB7" s="389">
        <f t="shared" ref="BB7:BB38" si="0">AY7*(1+$BC$2)</f>
        <v>78.441355136798236</v>
      </c>
      <c r="BC7" s="390">
        <f t="shared" ref="BC7:BC38" si="1">AZ7*(1+$BC$2)</f>
        <v>3294.5369157455261</v>
      </c>
      <c r="BD7" s="388">
        <f t="shared" ref="BD7:BD38" si="2">BA7*(1+$BF$2)</f>
        <v>80.794595790902179</v>
      </c>
      <c r="BE7" s="389">
        <f t="shared" ref="BE7:BE38" si="3">BB7*(1+$BF$2)</f>
        <v>80.794595790902179</v>
      </c>
      <c r="BF7" s="390">
        <f t="shared" ref="BF7:BF38" si="4">BC7*(1+$BF$2)</f>
        <v>3393.3730232178918</v>
      </c>
      <c r="BG7" s="388">
        <f t="shared" ref="BG7:BG61" si="5">BD7*(1+$BF$2)</f>
        <v>83.218433664629245</v>
      </c>
      <c r="BH7" s="389">
        <f t="shared" ref="BH7:BH61" si="6">BE7*(1+$BF$2)</f>
        <v>83.218433664629245</v>
      </c>
      <c r="BI7" s="390">
        <f t="shared" ref="BI7:BI61" si="7">BF7*(1+$BF$2)</f>
        <v>3495.1742139144285</v>
      </c>
    </row>
    <row r="8" spans="1:61" ht="14.25">
      <c r="A8" s="159"/>
      <c r="B8" s="205" t="s">
        <v>93</v>
      </c>
      <c r="C8" s="160"/>
      <c r="D8" s="161"/>
      <c r="E8" s="162"/>
      <c r="F8" s="163"/>
      <c r="G8" s="161"/>
      <c r="H8" s="162"/>
      <c r="I8" s="161"/>
      <c r="J8" s="161"/>
      <c r="K8" s="162"/>
      <c r="L8" s="161"/>
      <c r="M8" s="161"/>
      <c r="N8" s="162"/>
      <c r="O8" s="161"/>
      <c r="P8" s="161"/>
      <c r="Q8" s="162"/>
      <c r="R8" s="161"/>
      <c r="S8" s="161"/>
      <c r="T8" s="162"/>
      <c r="U8" s="161">
        <v>56.7</v>
      </c>
      <c r="V8" s="161">
        <v>56.7</v>
      </c>
      <c r="W8" s="162">
        <v>2381.4</v>
      </c>
      <c r="X8" s="161">
        <v>58.968000000000004</v>
      </c>
      <c r="Y8" s="161">
        <v>58.968000000000004</v>
      </c>
      <c r="Z8" s="162">
        <v>2476.6559999999999</v>
      </c>
      <c r="AA8" s="161">
        <v>61.916400000000003</v>
      </c>
      <c r="AB8" s="161">
        <v>61.916400000000003</v>
      </c>
      <c r="AC8" s="162">
        <v>2600.4888000000001</v>
      </c>
      <c r="AD8" s="161">
        <v>63.78</v>
      </c>
      <c r="AE8" s="165">
        <v>63.78</v>
      </c>
      <c r="AF8" s="162">
        <f>AE8*42</f>
        <v>2678.76</v>
      </c>
      <c r="AG8" s="161">
        <f t="shared" ref="AG8:AH47" si="8">AD8*(1+$AI$2)</f>
        <v>65.693399999999997</v>
      </c>
      <c r="AH8" s="165">
        <f t="shared" si="8"/>
        <v>65.693399999999997</v>
      </c>
      <c r="AI8" s="162">
        <f>AH8*42</f>
        <v>2759.1228000000001</v>
      </c>
      <c r="AJ8" s="161">
        <f t="shared" ref="AJ8:AK20" si="9">AG8*(1+$AI$2)</f>
        <v>67.664202000000003</v>
      </c>
      <c r="AK8" s="165">
        <f t="shared" si="9"/>
        <v>67.664202000000003</v>
      </c>
      <c r="AL8" s="162">
        <f>AK8*42</f>
        <v>2841.8964840000003</v>
      </c>
      <c r="AM8" s="371" t="s">
        <v>93</v>
      </c>
      <c r="AN8" s="391">
        <v>69.694128060000011</v>
      </c>
      <c r="AO8" s="392">
        <v>69.694128060000011</v>
      </c>
      <c r="AP8" s="393">
        <v>2927.1533785200004</v>
      </c>
      <c r="AQ8" s="371" t="s">
        <v>93</v>
      </c>
      <c r="AR8" s="391">
        <f t="shared" ref="AR8:AR61" si="10">AN8*(1+$AT$2)</f>
        <v>71.784951901800014</v>
      </c>
      <c r="AS8" s="392">
        <f t="shared" ref="AS8:AS61" si="11">AO8*(1+$AT$2)</f>
        <v>71.784951901800014</v>
      </c>
      <c r="AT8" s="393">
        <f t="shared" ref="AT8:AT61" si="12">AP8*(1+$AT$2)</f>
        <v>3014.9679798756006</v>
      </c>
      <c r="AU8" s="391">
        <f t="shared" ref="AU8:AU61" si="13">AR8*(1+$AW$2)</f>
        <v>73.938500458854023</v>
      </c>
      <c r="AV8" s="392">
        <f t="shared" ref="AV8:AV61" si="14">AS8*(1+$AW$2)</f>
        <v>73.938500458854023</v>
      </c>
      <c r="AW8" s="393">
        <f t="shared" ref="AW8:AW61" si="15">AT8*(1+$AW$2)</f>
        <v>3105.4170192718689</v>
      </c>
      <c r="AX8" s="391">
        <f t="shared" ref="AX8:AX61" si="16">AU8*(1+$AZ$2)</f>
        <v>76.156655472619647</v>
      </c>
      <c r="AY8" s="392">
        <f t="shared" ref="AY8:AY61" si="17">AV8*(1+$AZ$2)</f>
        <v>76.156655472619647</v>
      </c>
      <c r="AZ8" s="393">
        <f t="shared" ref="AZ8:AZ61" si="18">AW8*(1+$AZ$2)</f>
        <v>3198.5795298500252</v>
      </c>
      <c r="BA8" s="391">
        <f t="shared" ref="BA8:BA38" si="19">AX8*(1+$BC$2)</f>
        <v>78.441355136798236</v>
      </c>
      <c r="BB8" s="392">
        <f t="shared" si="0"/>
        <v>78.441355136798236</v>
      </c>
      <c r="BC8" s="393">
        <f t="shared" si="1"/>
        <v>3294.5369157455261</v>
      </c>
      <c r="BD8" s="391">
        <f t="shared" si="2"/>
        <v>80.794595790902179</v>
      </c>
      <c r="BE8" s="392">
        <f t="shared" si="3"/>
        <v>80.794595790902179</v>
      </c>
      <c r="BF8" s="393">
        <f t="shared" si="4"/>
        <v>3393.3730232178918</v>
      </c>
      <c r="BG8" s="391">
        <f t="shared" si="5"/>
        <v>83.218433664629245</v>
      </c>
      <c r="BH8" s="392">
        <f t="shared" si="6"/>
        <v>83.218433664629245</v>
      </c>
      <c r="BI8" s="393">
        <f t="shared" si="7"/>
        <v>3495.1742139144285</v>
      </c>
    </row>
    <row r="9" spans="1:61" ht="15" thickBot="1">
      <c r="A9" s="206">
        <v>422</v>
      </c>
      <c r="B9" s="207" t="s">
        <v>94</v>
      </c>
      <c r="C9" s="208">
        <v>50</v>
      </c>
      <c r="D9" s="209">
        <v>50</v>
      </c>
      <c r="E9" s="210">
        <v>2100</v>
      </c>
      <c r="F9" s="211">
        <v>69</v>
      </c>
      <c r="G9" s="209">
        <v>69</v>
      </c>
      <c r="H9" s="210">
        <v>2898</v>
      </c>
      <c r="I9" s="209">
        <v>72.795000000000002</v>
      </c>
      <c r="J9" s="209">
        <v>72.8</v>
      </c>
      <c r="K9" s="210">
        <v>3057.6</v>
      </c>
      <c r="L9" s="209">
        <v>76.434750000000008</v>
      </c>
      <c r="M9" s="209">
        <v>76.434750000000008</v>
      </c>
      <c r="N9" s="210">
        <v>3210.2595000000001</v>
      </c>
      <c r="O9" s="209">
        <v>79.874313749999999</v>
      </c>
      <c r="P9" s="209">
        <v>79.874313749999999</v>
      </c>
      <c r="Q9" s="210">
        <v>3354.7211775000001</v>
      </c>
      <c r="R9" s="209">
        <v>79.874313749999999</v>
      </c>
      <c r="S9" s="209">
        <v>79.874313749999999</v>
      </c>
      <c r="T9" s="210">
        <v>3354.7211775000001</v>
      </c>
      <c r="U9" s="209">
        <v>83.069286300000002</v>
      </c>
      <c r="V9" s="209">
        <v>83.069286300000002</v>
      </c>
      <c r="W9" s="210">
        <v>3488.9100246000003</v>
      </c>
      <c r="X9" s="209">
        <v>86.392057751999999</v>
      </c>
      <c r="Y9" s="209">
        <v>86.392057751999999</v>
      </c>
      <c r="Z9" s="210">
        <v>3628.4664255839998</v>
      </c>
      <c r="AA9" s="209">
        <v>90.711660639599998</v>
      </c>
      <c r="AB9" s="209">
        <v>90.711660639599998</v>
      </c>
      <c r="AC9" s="210">
        <v>3809.8897468631999</v>
      </c>
      <c r="AD9" s="209">
        <f>93.43+0.01</f>
        <v>93.440000000000012</v>
      </c>
      <c r="AE9" s="212">
        <f>93.43+0.01</f>
        <v>93.440000000000012</v>
      </c>
      <c r="AF9" s="210">
        <f t="shared" ref="AF9:AF54" si="20">AE9*42</f>
        <v>3924.4800000000005</v>
      </c>
      <c r="AG9" s="209">
        <f t="shared" si="8"/>
        <v>96.243200000000016</v>
      </c>
      <c r="AH9" s="212">
        <f t="shared" si="8"/>
        <v>96.243200000000016</v>
      </c>
      <c r="AI9" s="210">
        <f t="shared" ref="AI9:AI59" si="21">AH9*42</f>
        <v>4042.2144000000008</v>
      </c>
      <c r="AJ9" s="209">
        <f t="shared" si="9"/>
        <v>99.130496000000022</v>
      </c>
      <c r="AK9" s="212">
        <f t="shared" si="9"/>
        <v>99.130496000000022</v>
      </c>
      <c r="AL9" s="210">
        <f t="shared" ref="AL9:AL57" si="22">AK9*42</f>
        <v>4163.4808320000011</v>
      </c>
      <c r="AM9" s="372" t="s">
        <v>94</v>
      </c>
      <c r="AN9" s="394">
        <v>102.10441088000003</v>
      </c>
      <c r="AO9" s="395">
        <v>102.10441088000003</v>
      </c>
      <c r="AP9" s="396">
        <v>4288.3852569600012</v>
      </c>
      <c r="AQ9" s="372" t="s">
        <v>94</v>
      </c>
      <c r="AR9" s="394">
        <f t="shared" si="10"/>
        <v>105.16754320640004</v>
      </c>
      <c r="AS9" s="395">
        <f t="shared" si="11"/>
        <v>105.16754320640004</v>
      </c>
      <c r="AT9" s="396">
        <f t="shared" si="12"/>
        <v>4417.0368146688015</v>
      </c>
      <c r="AU9" s="394">
        <f t="shared" si="13"/>
        <v>108.32256950259205</v>
      </c>
      <c r="AV9" s="395">
        <f t="shared" si="14"/>
        <v>108.32256950259205</v>
      </c>
      <c r="AW9" s="396">
        <f t="shared" si="15"/>
        <v>4549.5479191088652</v>
      </c>
      <c r="AX9" s="394">
        <f t="shared" si="16"/>
        <v>111.57224658766981</v>
      </c>
      <c r="AY9" s="395">
        <f t="shared" si="17"/>
        <v>111.57224658766981</v>
      </c>
      <c r="AZ9" s="396">
        <f t="shared" si="18"/>
        <v>4686.0343566821311</v>
      </c>
      <c r="BA9" s="394">
        <f t="shared" si="19"/>
        <v>114.91941398529991</v>
      </c>
      <c r="BB9" s="395">
        <f t="shared" si="0"/>
        <v>114.91941398529991</v>
      </c>
      <c r="BC9" s="396">
        <f t="shared" si="1"/>
        <v>4826.6153873825951</v>
      </c>
      <c r="BD9" s="394">
        <f t="shared" si="2"/>
        <v>118.36699640485891</v>
      </c>
      <c r="BE9" s="395">
        <f t="shared" si="3"/>
        <v>118.36699640485891</v>
      </c>
      <c r="BF9" s="396">
        <f t="shared" si="4"/>
        <v>4971.4138490040732</v>
      </c>
      <c r="BG9" s="394">
        <f t="shared" si="5"/>
        <v>121.91800629700468</v>
      </c>
      <c r="BH9" s="395">
        <f t="shared" si="6"/>
        <v>121.91800629700468</v>
      </c>
      <c r="BI9" s="396">
        <f t="shared" si="7"/>
        <v>5120.5562644741958</v>
      </c>
    </row>
    <row r="10" spans="1:61" ht="15">
      <c r="A10" s="213"/>
      <c r="B10" s="214" t="s">
        <v>95</v>
      </c>
      <c r="C10" s="160">
        <v>42</v>
      </c>
      <c r="D10" s="161">
        <v>42</v>
      </c>
      <c r="E10" s="162">
        <v>1764</v>
      </c>
      <c r="F10" s="174">
        <v>42</v>
      </c>
      <c r="G10" s="161">
        <v>42</v>
      </c>
      <c r="H10" s="162">
        <v>1764</v>
      </c>
      <c r="I10" s="161">
        <v>44.31</v>
      </c>
      <c r="J10" s="161">
        <v>44.31</v>
      </c>
      <c r="K10" s="162">
        <v>1861.02</v>
      </c>
      <c r="L10" s="161">
        <v>46.525500000000001</v>
      </c>
      <c r="M10" s="161">
        <v>46.525500000000001</v>
      </c>
      <c r="N10" s="162">
        <v>1954.0710000000001</v>
      </c>
      <c r="O10" s="161">
        <v>48.619147499999997</v>
      </c>
      <c r="P10" s="161">
        <v>48.619147499999997</v>
      </c>
      <c r="Q10" s="162">
        <v>2042.004195</v>
      </c>
      <c r="R10" s="161">
        <v>48.619147499999997</v>
      </c>
      <c r="S10" s="161">
        <v>48.619147499999997</v>
      </c>
      <c r="T10" s="162">
        <v>2042.004195</v>
      </c>
      <c r="U10" s="161">
        <v>50.563913399999997</v>
      </c>
      <c r="V10" s="161">
        <v>50.563913399999997</v>
      </c>
      <c r="W10" s="162">
        <v>2123.6843627999997</v>
      </c>
      <c r="X10" s="161">
        <v>52.576469936000002</v>
      </c>
      <c r="Y10" s="161">
        <v>52.576469936000002</v>
      </c>
      <c r="Z10" s="162">
        <v>2208.211737312</v>
      </c>
      <c r="AA10" s="161">
        <v>55.205293432800005</v>
      </c>
      <c r="AB10" s="161">
        <v>55.205293432800005</v>
      </c>
      <c r="AC10" s="162">
        <v>2318.6223241776001</v>
      </c>
      <c r="AD10" s="161">
        <v>56.87</v>
      </c>
      <c r="AE10" s="165">
        <v>56.87</v>
      </c>
      <c r="AF10" s="162">
        <f t="shared" si="20"/>
        <v>2388.54</v>
      </c>
      <c r="AG10" s="161">
        <f t="shared" si="8"/>
        <v>58.576099999999997</v>
      </c>
      <c r="AH10" s="165">
        <f t="shared" si="8"/>
        <v>58.576099999999997</v>
      </c>
      <c r="AI10" s="162">
        <f t="shared" si="21"/>
        <v>2460.1961999999999</v>
      </c>
      <c r="AJ10" s="161">
        <f t="shared" si="9"/>
        <v>60.333382999999998</v>
      </c>
      <c r="AK10" s="165">
        <f t="shared" si="9"/>
        <v>60.333382999999998</v>
      </c>
      <c r="AL10" s="162">
        <f t="shared" si="22"/>
        <v>2534.002086</v>
      </c>
      <c r="AM10" s="373" t="s">
        <v>95</v>
      </c>
      <c r="AN10" s="391">
        <v>62.143384490000003</v>
      </c>
      <c r="AO10" s="392">
        <v>62.143384490000003</v>
      </c>
      <c r="AP10" s="393">
        <v>2610.0221485800002</v>
      </c>
      <c r="AQ10" s="373" t="s">
        <v>95</v>
      </c>
      <c r="AR10" s="391">
        <f t="shared" si="10"/>
        <v>64.007686024700007</v>
      </c>
      <c r="AS10" s="392">
        <f t="shared" si="11"/>
        <v>64.007686024700007</v>
      </c>
      <c r="AT10" s="393">
        <f t="shared" si="12"/>
        <v>2688.3228130374005</v>
      </c>
      <c r="AU10" s="391">
        <f t="shared" si="13"/>
        <v>65.927916605441013</v>
      </c>
      <c r="AV10" s="392">
        <f t="shared" si="14"/>
        <v>65.927916605441013</v>
      </c>
      <c r="AW10" s="393">
        <f t="shared" si="15"/>
        <v>2768.9724974285227</v>
      </c>
      <c r="AX10" s="391">
        <f t="shared" si="16"/>
        <v>67.905754103604238</v>
      </c>
      <c r="AY10" s="392">
        <f t="shared" si="17"/>
        <v>67.905754103604238</v>
      </c>
      <c r="AZ10" s="393">
        <f t="shared" si="18"/>
        <v>2852.0416723513786</v>
      </c>
      <c r="BA10" s="391">
        <f t="shared" si="19"/>
        <v>69.942926726712372</v>
      </c>
      <c r="BB10" s="392">
        <f t="shared" si="0"/>
        <v>69.942926726712372</v>
      </c>
      <c r="BC10" s="393">
        <f t="shared" si="1"/>
        <v>2937.6029225219199</v>
      </c>
      <c r="BD10" s="391">
        <f t="shared" si="2"/>
        <v>72.041214528513748</v>
      </c>
      <c r="BE10" s="392">
        <f t="shared" si="3"/>
        <v>72.041214528513748</v>
      </c>
      <c r="BF10" s="393">
        <f t="shared" si="4"/>
        <v>3025.7310101975777</v>
      </c>
      <c r="BG10" s="391">
        <f t="shared" si="5"/>
        <v>74.202450964369163</v>
      </c>
      <c r="BH10" s="392">
        <f t="shared" si="6"/>
        <v>74.202450964369163</v>
      </c>
      <c r="BI10" s="393">
        <f t="shared" si="7"/>
        <v>3116.5029405035052</v>
      </c>
    </row>
    <row r="11" spans="1:61" ht="15.75" thickBot="1">
      <c r="A11" s="215"/>
      <c r="B11" s="207" t="s">
        <v>96</v>
      </c>
      <c r="C11" s="208">
        <v>42</v>
      </c>
      <c r="D11" s="161">
        <v>42</v>
      </c>
      <c r="E11" s="162">
        <v>1764</v>
      </c>
      <c r="F11" s="174">
        <v>42</v>
      </c>
      <c r="G11" s="161">
        <v>42</v>
      </c>
      <c r="H11" s="162">
        <v>1764</v>
      </c>
      <c r="I11" s="216">
        <v>44.31</v>
      </c>
      <c r="J11" s="209">
        <v>44.31</v>
      </c>
      <c r="K11" s="210">
        <v>1861.02</v>
      </c>
      <c r="L11" s="216">
        <v>46.525500000000001</v>
      </c>
      <c r="M11" s="209">
        <v>46.525500000000001</v>
      </c>
      <c r="N11" s="210">
        <v>1954.0710000000001</v>
      </c>
      <c r="O11" s="216">
        <v>48.619147499999997</v>
      </c>
      <c r="P11" s="209">
        <v>48.619147499999997</v>
      </c>
      <c r="Q11" s="210">
        <v>2042.004195</v>
      </c>
      <c r="R11" s="216">
        <v>48.619147499999997</v>
      </c>
      <c r="S11" s="209">
        <v>48.619147499999997</v>
      </c>
      <c r="T11" s="210">
        <v>2042.004195</v>
      </c>
      <c r="U11" s="216">
        <v>50.563913399999997</v>
      </c>
      <c r="V11" s="209">
        <v>50.563913399999997</v>
      </c>
      <c r="W11" s="210">
        <v>2123.6843627999997</v>
      </c>
      <c r="X11" s="209">
        <v>52.576469936000002</v>
      </c>
      <c r="Y11" s="209">
        <v>52.576469936000002</v>
      </c>
      <c r="Z11" s="210">
        <v>2208.211737312</v>
      </c>
      <c r="AA11" s="209">
        <v>55.205293432800005</v>
      </c>
      <c r="AB11" s="209">
        <v>55.205293432800005</v>
      </c>
      <c r="AC11" s="210">
        <v>2318.6223241776001</v>
      </c>
      <c r="AD11" s="209">
        <v>56.87</v>
      </c>
      <c r="AE11" s="212">
        <v>56.87</v>
      </c>
      <c r="AF11" s="210">
        <f t="shared" si="20"/>
        <v>2388.54</v>
      </c>
      <c r="AG11" s="209">
        <f t="shared" si="8"/>
        <v>58.576099999999997</v>
      </c>
      <c r="AH11" s="212">
        <f t="shared" si="8"/>
        <v>58.576099999999997</v>
      </c>
      <c r="AI11" s="210">
        <f t="shared" si="21"/>
        <v>2460.1961999999999</v>
      </c>
      <c r="AJ11" s="209">
        <f t="shared" si="9"/>
        <v>60.333382999999998</v>
      </c>
      <c r="AK11" s="212">
        <f t="shared" si="9"/>
        <v>60.333382999999998</v>
      </c>
      <c r="AL11" s="210">
        <f t="shared" si="22"/>
        <v>2534.002086</v>
      </c>
      <c r="AM11" s="372" t="s">
        <v>96</v>
      </c>
      <c r="AN11" s="394">
        <v>62.143384490000003</v>
      </c>
      <c r="AO11" s="395">
        <v>62.143384490000003</v>
      </c>
      <c r="AP11" s="396">
        <v>2610.0221485800002</v>
      </c>
      <c r="AQ11" s="372" t="s">
        <v>96</v>
      </c>
      <c r="AR11" s="394">
        <f t="shared" si="10"/>
        <v>64.007686024700007</v>
      </c>
      <c r="AS11" s="395">
        <f t="shared" si="11"/>
        <v>64.007686024700007</v>
      </c>
      <c r="AT11" s="396">
        <f t="shared" si="12"/>
        <v>2688.3228130374005</v>
      </c>
      <c r="AU11" s="394">
        <f t="shared" si="13"/>
        <v>65.927916605441013</v>
      </c>
      <c r="AV11" s="395">
        <f t="shared" si="14"/>
        <v>65.927916605441013</v>
      </c>
      <c r="AW11" s="396">
        <f t="shared" si="15"/>
        <v>2768.9724974285227</v>
      </c>
      <c r="AX11" s="394">
        <f t="shared" si="16"/>
        <v>67.905754103604238</v>
      </c>
      <c r="AY11" s="395">
        <f t="shared" si="17"/>
        <v>67.905754103604238</v>
      </c>
      <c r="AZ11" s="396">
        <f t="shared" si="18"/>
        <v>2852.0416723513786</v>
      </c>
      <c r="BA11" s="394">
        <f t="shared" si="19"/>
        <v>69.942926726712372</v>
      </c>
      <c r="BB11" s="395">
        <f t="shared" si="0"/>
        <v>69.942926726712372</v>
      </c>
      <c r="BC11" s="396">
        <f t="shared" si="1"/>
        <v>2937.6029225219199</v>
      </c>
      <c r="BD11" s="394">
        <f t="shared" si="2"/>
        <v>72.041214528513748</v>
      </c>
      <c r="BE11" s="395">
        <f t="shared" si="3"/>
        <v>72.041214528513748</v>
      </c>
      <c r="BF11" s="396">
        <f t="shared" si="4"/>
        <v>3025.7310101975777</v>
      </c>
      <c r="BG11" s="394">
        <f t="shared" si="5"/>
        <v>74.202450964369163</v>
      </c>
      <c r="BH11" s="395">
        <f t="shared" si="6"/>
        <v>74.202450964369163</v>
      </c>
      <c r="BI11" s="396">
        <f t="shared" si="7"/>
        <v>3116.5029405035052</v>
      </c>
    </row>
    <row r="12" spans="1:61" ht="14.25">
      <c r="A12" s="159">
        <v>210</v>
      </c>
      <c r="B12" s="150" t="s">
        <v>97</v>
      </c>
      <c r="C12" s="160">
        <v>15</v>
      </c>
      <c r="D12" s="154">
        <v>15</v>
      </c>
      <c r="E12" s="155">
        <v>630</v>
      </c>
      <c r="F12" s="156">
        <v>35.32</v>
      </c>
      <c r="G12" s="154">
        <v>35.32</v>
      </c>
      <c r="H12" s="155">
        <v>1483.44</v>
      </c>
      <c r="I12" s="161">
        <v>37.262599999999999</v>
      </c>
      <c r="J12" s="161">
        <v>37.26</v>
      </c>
      <c r="K12" s="162">
        <v>1564.9199999999998</v>
      </c>
      <c r="L12" s="161">
        <v>39.125729999999997</v>
      </c>
      <c r="M12" s="161">
        <v>39.125729999999997</v>
      </c>
      <c r="N12" s="162">
        <v>1643.2806599999999</v>
      </c>
      <c r="O12" s="161">
        <v>40.886387849999991</v>
      </c>
      <c r="P12" s="161">
        <v>40.886387849999991</v>
      </c>
      <c r="Q12" s="162">
        <v>1717.2282896999996</v>
      </c>
      <c r="R12" s="161">
        <v>63.55</v>
      </c>
      <c r="S12" s="161">
        <v>63.55</v>
      </c>
      <c r="T12" s="162">
        <v>2669.1</v>
      </c>
      <c r="U12" s="161">
        <v>66.091999999999999</v>
      </c>
      <c r="V12" s="161">
        <v>66.091999999999999</v>
      </c>
      <c r="W12" s="162">
        <v>2775.864</v>
      </c>
      <c r="X12" s="161">
        <v>68.725679999999997</v>
      </c>
      <c r="Y12" s="161">
        <v>68.725679999999997</v>
      </c>
      <c r="Z12" s="162">
        <v>2886.47856</v>
      </c>
      <c r="AA12" s="161">
        <v>72.161963999999998</v>
      </c>
      <c r="AB12" s="161">
        <v>72.161963999999998</v>
      </c>
      <c r="AC12" s="162">
        <v>3030.8024879999998</v>
      </c>
      <c r="AD12" s="161">
        <v>74.319999999999993</v>
      </c>
      <c r="AE12" s="165">
        <v>74.319999999999993</v>
      </c>
      <c r="AF12" s="162">
        <f t="shared" si="20"/>
        <v>3121.4399999999996</v>
      </c>
      <c r="AG12" s="161">
        <f t="shared" si="8"/>
        <v>76.549599999999998</v>
      </c>
      <c r="AH12" s="165">
        <f t="shared" si="8"/>
        <v>76.549599999999998</v>
      </c>
      <c r="AI12" s="162">
        <f t="shared" si="21"/>
        <v>3215.0832</v>
      </c>
      <c r="AJ12" s="161">
        <f t="shared" si="9"/>
        <v>78.846087999999995</v>
      </c>
      <c r="AK12" s="165">
        <f t="shared" si="9"/>
        <v>78.846087999999995</v>
      </c>
      <c r="AL12" s="162">
        <f t="shared" si="22"/>
        <v>3311.5356959999999</v>
      </c>
      <c r="AM12" s="373" t="s">
        <v>97</v>
      </c>
      <c r="AN12" s="391">
        <v>81.211470640000002</v>
      </c>
      <c r="AO12" s="392">
        <v>81.211470640000002</v>
      </c>
      <c r="AP12" s="393">
        <v>3410.8817668800002</v>
      </c>
      <c r="AQ12" s="373" t="s">
        <v>97</v>
      </c>
      <c r="AR12" s="391">
        <f t="shared" si="10"/>
        <v>83.647814759200003</v>
      </c>
      <c r="AS12" s="392">
        <f t="shared" si="11"/>
        <v>83.647814759200003</v>
      </c>
      <c r="AT12" s="393">
        <f t="shared" si="12"/>
        <v>3513.2082198864005</v>
      </c>
      <c r="AU12" s="391">
        <f t="shared" si="13"/>
        <v>86.157249201976001</v>
      </c>
      <c r="AV12" s="392">
        <f t="shared" si="14"/>
        <v>86.157249201976001</v>
      </c>
      <c r="AW12" s="393">
        <f t="shared" si="15"/>
        <v>3618.6044664829924</v>
      </c>
      <c r="AX12" s="391">
        <f t="shared" si="16"/>
        <v>88.741966678035283</v>
      </c>
      <c r="AY12" s="392">
        <f t="shared" si="17"/>
        <v>88.741966678035283</v>
      </c>
      <c r="AZ12" s="393">
        <f t="shared" si="18"/>
        <v>3727.1626004774821</v>
      </c>
      <c r="BA12" s="391">
        <f t="shared" si="19"/>
        <v>91.404225678376349</v>
      </c>
      <c r="BB12" s="392">
        <f t="shared" si="0"/>
        <v>91.404225678376349</v>
      </c>
      <c r="BC12" s="393">
        <f t="shared" si="1"/>
        <v>3838.9774784918068</v>
      </c>
      <c r="BD12" s="391">
        <f t="shared" si="2"/>
        <v>94.14635244872764</v>
      </c>
      <c r="BE12" s="392">
        <f t="shared" si="3"/>
        <v>94.14635244872764</v>
      </c>
      <c r="BF12" s="393">
        <f t="shared" si="4"/>
        <v>3954.1468028465611</v>
      </c>
      <c r="BG12" s="391">
        <f t="shared" si="5"/>
        <v>96.970743022189467</v>
      </c>
      <c r="BH12" s="392">
        <f t="shared" si="6"/>
        <v>96.970743022189467</v>
      </c>
      <c r="BI12" s="393">
        <f t="shared" si="7"/>
        <v>4072.7712069319582</v>
      </c>
    </row>
    <row r="13" spans="1:61" ht="14.25">
      <c r="A13" s="159">
        <v>212</v>
      </c>
      <c r="B13" s="214" t="s">
        <v>98</v>
      </c>
      <c r="C13" s="160">
        <v>75</v>
      </c>
      <c r="D13" s="161">
        <v>75</v>
      </c>
      <c r="E13" s="162">
        <v>3150</v>
      </c>
      <c r="F13" s="163">
        <v>94</v>
      </c>
      <c r="G13" s="161">
        <v>94</v>
      </c>
      <c r="H13" s="162">
        <v>3948</v>
      </c>
      <c r="I13" s="161">
        <v>99.17</v>
      </c>
      <c r="J13" s="161">
        <v>99.17</v>
      </c>
      <c r="K13" s="162">
        <v>4165.1400000000003</v>
      </c>
      <c r="L13" s="161">
        <v>104.1285</v>
      </c>
      <c r="M13" s="161">
        <v>104.1285</v>
      </c>
      <c r="N13" s="162">
        <v>4373.3969999999999</v>
      </c>
      <c r="O13" s="161">
        <v>108.81428249999999</v>
      </c>
      <c r="P13" s="161">
        <v>108.81428249999999</v>
      </c>
      <c r="Q13" s="162">
        <v>4570.1998649999996</v>
      </c>
      <c r="R13" s="161">
        <v>108.81428249999999</v>
      </c>
      <c r="S13" s="161">
        <v>108.81428249999999</v>
      </c>
      <c r="T13" s="162">
        <v>4570.1998649999996</v>
      </c>
      <c r="U13" s="161">
        <v>113.1668538</v>
      </c>
      <c r="V13" s="161">
        <v>113.1668538</v>
      </c>
      <c r="W13" s="162">
        <v>4753.0078596000003</v>
      </c>
      <c r="X13" s="161">
        <v>117.703527952</v>
      </c>
      <c r="Y13" s="161">
        <v>117.703527952</v>
      </c>
      <c r="Z13" s="162">
        <v>4943.5481739839997</v>
      </c>
      <c r="AA13" s="161">
        <v>123.58870434960001</v>
      </c>
      <c r="AB13" s="161">
        <v>123.58870434960001</v>
      </c>
      <c r="AC13" s="162">
        <v>5190.7255826832006</v>
      </c>
      <c r="AD13" s="161">
        <v>127.3</v>
      </c>
      <c r="AE13" s="165">
        <v>127.3</v>
      </c>
      <c r="AF13" s="162">
        <f t="shared" si="20"/>
        <v>5346.5999999999995</v>
      </c>
      <c r="AG13" s="161">
        <f t="shared" si="8"/>
        <v>131.119</v>
      </c>
      <c r="AH13" s="165">
        <f t="shared" si="8"/>
        <v>131.119</v>
      </c>
      <c r="AI13" s="162">
        <f t="shared" si="21"/>
        <v>5506.9979999999996</v>
      </c>
      <c r="AJ13" s="161">
        <f t="shared" si="9"/>
        <v>135.05257</v>
      </c>
      <c r="AK13" s="165">
        <f t="shared" si="9"/>
        <v>135.05257</v>
      </c>
      <c r="AL13" s="162">
        <f t="shared" si="22"/>
        <v>5672.2079400000002</v>
      </c>
      <c r="AM13" s="373" t="s">
        <v>98</v>
      </c>
      <c r="AN13" s="391">
        <v>139.10414710000001</v>
      </c>
      <c r="AO13" s="392">
        <v>139.10414710000001</v>
      </c>
      <c r="AP13" s="393">
        <v>5842.3741782000006</v>
      </c>
      <c r="AQ13" s="373" t="s">
        <v>98</v>
      </c>
      <c r="AR13" s="391">
        <f t="shared" si="10"/>
        <v>143.27727151300002</v>
      </c>
      <c r="AS13" s="392">
        <f t="shared" si="11"/>
        <v>143.27727151300002</v>
      </c>
      <c r="AT13" s="393">
        <f t="shared" si="12"/>
        <v>6017.645403546001</v>
      </c>
      <c r="AU13" s="391">
        <f t="shared" si="13"/>
        <v>147.57558965839002</v>
      </c>
      <c r="AV13" s="392">
        <f t="shared" si="14"/>
        <v>147.57558965839002</v>
      </c>
      <c r="AW13" s="393">
        <f t="shared" si="15"/>
        <v>6198.1747656523812</v>
      </c>
      <c r="AX13" s="391">
        <f t="shared" si="16"/>
        <v>152.00285734814173</v>
      </c>
      <c r="AY13" s="392">
        <f t="shared" si="17"/>
        <v>152.00285734814173</v>
      </c>
      <c r="AZ13" s="393">
        <f t="shared" si="18"/>
        <v>6384.1200086219524</v>
      </c>
      <c r="BA13" s="391">
        <f t="shared" si="19"/>
        <v>156.56294306858598</v>
      </c>
      <c r="BB13" s="392">
        <f t="shared" si="0"/>
        <v>156.56294306858598</v>
      </c>
      <c r="BC13" s="393">
        <f t="shared" si="1"/>
        <v>6575.6436088806113</v>
      </c>
      <c r="BD13" s="391">
        <f t="shared" si="2"/>
        <v>161.25983136064357</v>
      </c>
      <c r="BE13" s="392">
        <f t="shared" si="3"/>
        <v>161.25983136064357</v>
      </c>
      <c r="BF13" s="393">
        <f t="shared" si="4"/>
        <v>6772.9129171470295</v>
      </c>
      <c r="BG13" s="391">
        <f t="shared" si="5"/>
        <v>166.0976263014629</v>
      </c>
      <c r="BH13" s="392">
        <f t="shared" si="6"/>
        <v>166.0976263014629</v>
      </c>
      <c r="BI13" s="393">
        <f t="shared" si="7"/>
        <v>6976.1003046614405</v>
      </c>
    </row>
    <row r="14" spans="1:61" ht="15" thickBot="1">
      <c r="A14" s="217">
        <v>214</v>
      </c>
      <c r="B14" s="218" t="s">
        <v>99</v>
      </c>
      <c r="C14" s="219">
        <v>31.701030927835053</v>
      </c>
      <c r="D14" s="220">
        <v>31.7</v>
      </c>
      <c r="E14" s="221">
        <v>1331.36</v>
      </c>
      <c r="F14" s="219">
        <v>39.731958762886599</v>
      </c>
      <c r="G14" s="220">
        <v>39.731958762886599</v>
      </c>
      <c r="H14" s="221">
        <v>1668.7422680412371</v>
      </c>
      <c r="I14" s="220">
        <v>41.917216494845363</v>
      </c>
      <c r="J14" s="220">
        <v>41.92</v>
      </c>
      <c r="K14" s="221">
        <v>1760.64</v>
      </c>
      <c r="L14" s="220">
        <v>44.01307731958763</v>
      </c>
      <c r="M14" s="220">
        <v>44.01307731958763</v>
      </c>
      <c r="N14" s="221">
        <v>1848.5492474226805</v>
      </c>
      <c r="O14" s="220">
        <v>45.993665798969069</v>
      </c>
      <c r="P14" s="220">
        <v>45.993665798969069</v>
      </c>
      <c r="Q14" s="221">
        <v>1931.7339635567009</v>
      </c>
      <c r="R14" s="220">
        <v>81.040000000000006</v>
      </c>
      <c r="S14" s="220">
        <v>81.040000000000006</v>
      </c>
      <c r="T14" s="221">
        <v>3403.6800000000003</v>
      </c>
      <c r="U14" s="220">
        <v>84.281600000000012</v>
      </c>
      <c r="V14" s="220">
        <v>84.281600000000012</v>
      </c>
      <c r="W14" s="221">
        <v>3539.8272000000006</v>
      </c>
      <c r="X14" s="220">
        <v>87.652864000000008</v>
      </c>
      <c r="Y14" s="220">
        <v>87.652864000000008</v>
      </c>
      <c r="Z14" s="221">
        <v>3681.4202880000003</v>
      </c>
      <c r="AA14" s="220">
        <v>92.035507200000012</v>
      </c>
      <c r="AB14" s="220">
        <v>92.035507200000012</v>
      </c>
      <c r="AC14" s="221">
        <v>3865.4913024000007</v>
      </c>
      <c r="AD14" s="220">
        <v>94.8</v>
      </c>
      <c r="AE14" s="212">
        <v>94.8</v>
      </c>
      <c r="AF14" s="221">
        <f t="shared" si="20"/>
        <v>3981.6</v>
      </c>
      <c r="AG14" s="220">
        <f t="shared" si="8"/>
        <v>97.644000000000005</v>
      </c>
      <c r="AH14" s="212">
        <f t="shared" si="8"/>
        <v>97.644000000000005</v>
      </c>
      <c r="AI14" s="221">
        <f t="shared" si="21"/>
        <v>4101.0480000000007</v>
      </c>
      <c r="AJ14" s="220">
        <f t="shared" si="9"/>
        <v>100.57332000000001</v>
      </c>
      <c r="AK14" s="212">
        <f t="shared" si="9"/>
        <v>100.57332000000001</v>
      </c>
      <c r="AL14" s="221">
        <f>AK14*42</f>
        <v>4224.0794400000004</v>
      </c>
      <c r="AM14" s="373" t="s">
        <v>99</v>
      </c>
      <c r="AN14" s="391">
        <v>103.59051960000001</v>
      </c>
      <c r="AO14" s="392">
        <v>103.59051960000001</v>
      </c>
      <c r="AP14" s="393">
        <v>4350.8018232000004</v>
      </c>
      <c r="AQ14" s="373" t="s">
        <v>99</v>
      </c>
      <c r="AR14" s="391">
        <f t="shared" si="10"/>
        <v>106.69823518800001</v>
      </c>
      <c r="AS14" s="392">
        <f t="shared" si="11"/>
        <v>106.69823518800001</v>
      </c>
      <c r="AT14" s="393">
        <f t="shared" si="12"/>
        <v>4481.3258778960007</v>
      </c>
      <c r="AU14" s="391">
        <f t="shared" si="13"/>
        <v>109.89918224364001</v>
      </c>
      <c r="AV14" s="392">
        <f t="shared" si="14"/>
        <v>109.89918224364001</v>
      </c>
      <c r="AW14" s="393">
        <f t="shared" si="15"/>
        <v>4615.7656542328805</v>
      </c>
      <c r="AX14" s="391">
        <f t="shared" si="16"/>
        <v>113.19615771094922</v>
      </c>
      <c r="AY14" s="392">
        <f t="shared" si="17"/>
        <v>113.19615771094922</v>
      </c>
      <c r="AZ14" s="393">
        <f t="shared" si="18"/>
        <v>4754.2386238598674</v>
      </c>
      <c r="BA14" s="391">
        <f t="shared" si="19"/>
        <v>116.5920424422777</v>
      </c>
      <c r="BB14" s="392">
        <f t="shared" si="0"/>
        <v>116.5920424422777</v>
      </c>
      <c r="BC14" s="393">
        <f t="shared" si="1"/>
        <v>4896.8657825756636</v>
      </c>
      <c r="BD14" s="391">
        <f t="shared" si="2"/>
        <v>120.08980371554604</v>
      </c>
      <c r="BE14" s="392">
        <f t="shared" si="3"/>
        <v>120.08980371554604</v>
      </c>
      <c r="BF14" s="393">
        <f t="shared" si="4"/>
        <v>5043.7717560529336</v>
      </c>
      <c r="BG14" s="391">
        <f t="shared" si="5"/>
        <v>123.69249782701243</v>
      </c>
      <c r="BH14" s="392">
        <f t="shared" si="6"/>
        <v>123.69249782701243</v>
      </c>
      <c r="BI14" s="393">
        <f t="shared" si="7"/>
        <v>5195.0849087345214</v>
      </c>
    </row>
    <row r="15" spans="1:61" ht="15" thickBot="1">
      <c r="A15" s="159">
        <v>210</v>
      </c>
      <c r="B15" s="150" t="s">
        <v>97</v>
      </c>
      <c r="C15" s="160">
        <v>15</v>
      </c>
      <c r="D15" s="161">
        <v>15</v>
      </c>
      <c r="E15" s="162">
        <v>630</v>
      </c>
      <c r="F15" s="222">
        <v>35.32</v>
      </c>
      <c r="G15" s="154">
        <v>35.32</v>
      </c>
      <c r="H15" s="162">
        <v>1483.44</v>
      </c>
      <c r="I15" s="161">
        <v>37.262599999999999</v>
      </c>
      <c r="J15" s="161">
        <v>37.26</v>
      </c>
      <c r="K15" s="162">
        <v>1564.9199999999998</v>
      </c>
      <c r="L15" s="161">
        <v>39.125729999999997</v>
      </c>
      <c r="M15" s="161">
        <v>39.125729999999997</v>
      </c>
      <c r="N15" s="162">
        <v>1643.2806599999999</v>
      </c>
      <c r="O15" s="161">
        <v>40.886387849999991</v>
      </c>
      <c r="P15" s="161">
        <v>40.886387849999991</v>
      </c>
      <c r="Q15" s="162">
        <v>1717.2282896999996</v>
      </c>
      <c r="R15" s="161">
        <v>63.55</v>
      </c>
      <c r="S15" s="161">
        <v>63.55</v>
      </c>
      <c r="T15" s="162">
        <v>2669.1</v>
      </c>
      <c r="U15" s="161">
        <v>66.091999999999999</v>
      </c>
      <c r="V15" s="161">
        <v>66.091999999999999</v>
      </c>
      <c r="W15" s="162">
        <v>2775.864</v>
      </c>
      <c r="X15" s="161">
        <v>68.725679999999997</v>
      </c>
      <c r="Y15" s="161">
        <v>68.725679999999997</v>
      </c>
      <c r="Z15" s="162">
        <v>2886.47856</v>
      </c>
      <c r="AA15" s="161">
        <v>72.161963999999998</v>
      </c>
      <c r="AB15" s="161">
        <v>72.161963999999998</v>
      </c>
      <c r="AC15" s="162">
        <v>3030.8024879999998</v>
      </c>
      <c r="AD15" s="161">
        <v>74.319999999999993</v>
      </c>
      <c r="AE15" s="165">
        <v>74.319999999999993</v>
      </c>
      <c r="AF15" s="162">
        <f t="shared" si="20"/>
        <v>3121.4399999999996</v>
      </c>
      <c r="AG15" s="161">
        <f t="shared" si="8"/>
        <v>76.549599999999998</v>
      </c>
      <c r="AH15" s="165">
        <f t="shared" si="8"/>
        <v>76.549599999999998</v>
      </c>
      <c r="AI15" s="162">
        <f t="shared" si="21"/>
        <v>3215.0832</v>
      </c>
      <c r="AJ15" s="161">
        <f t="shared" si="9"/>
        <v>78.846087999999995</v>
      </c>
      <c r="AK15" s="165">
        <f t="shared" si="9"/>
        <v>78.846087999999995</v>
      </c>
      <c r="AL15" s="162">
        <f t="shared" si="22"/>
        <v>3311.5356959999999</v>
      </c>
      <c r="AM15" s="374" t="s">
        <v>272</v>
      </c>
      <c r="AN15" s="394">
        <v>0.45629000000000003</v>
      </c>
      <c r="AO15" s="395">
        <v>104.04680960000002</v>
      </c>
      <c r="AP15" s="396">
        <v>4369.9660032000002</v>
      </c>
      <c r="AQ15" s="374" t="s">
        <v>272</v>
      </c>
      <c r="AR15" s="394">
        <f t="shared" si="10"/>
        <v>0.46997870000000003</v>
      </c>
      <c r="AS15" s="395">
        <f t="shared" si="11"/>
        <v>107.16821388800003</v>
      </c>
      <c r="AT15" s="396">
        <f t="shared" si="12"/>
        <v>4501.0649832960007</v>
      </c>
      <c r="AU15" s="394">
        <f t="shared" si="13"/>
        <v>0.48407806100000006</v>
      </c>
      <c r="AV15" s="395">
        <f t="shared" si="14"/>
        <v>110.38326030464003</v>
      </c>
      <c r="AW15" s="396">
        <f t="shared" si="15"/>
        <v>4636.0969327948806</v>
      </c>
      <c r="AX15" s="394">
        <f t="shared" si="16"/>
        <v>0.49860040283000007</v>
      </c>
      <c r="AY15" s="395">
        <f t="shared" si="17"/>
        <v>113.69475811377923</v>
      </c>
      <c r="AZ15" s="396">
        <f t="shared" si="18"/>
        <v>4775.1798407787273</v>
      </c>
      <c r="BA15" s="394">
        <f t="shared" si="19"/>
        <v>0.51355841491490006</v>
      </c>
      <c r="BB15" s="395">
        <f t="shared" si="0"/>
        <v>117.10560085719261</v>
      </c>
      <c r="BC15" s="396">
        <f t="shared" si="1"/>
        <v>4918.4352360020894</v>
      </c>
      <c r="BD15" s="394">
        <f t="shared" si="2"/>
        <v>0.52896516736234711</v>
      </c>
      <c r="BE15" s="395">
        <f t="shared" si="3"/>
        <v>120.6187688829084</v>
      </c>
      <c r="BF15" s="396">
        <f t="shared" si="4"/>
        <v>5065.9882930821523</v>
      </c>
      <c r="BG15" s="394">
        <f t="shared" si="5"/>
        <v>0.54483412238321749</v>
      </c>
      <c r="BH15" s="395">
        <f t="shared" si="6"/>
        <v>124.23733194939565</v>
      </c>
      <c r="BI15" s="396">
        <f t="shared" si="7"/>
        <v>5217.9679418746173</v>
      </c>
    </row>
    <row r="16" spans="1:61" ht="14.25">
      <c r="A16" s="159">
        <v>260</v>
      </c>
      <c r="B16" s="150" t="s">
        <v>100</v>
      </c>
      <c r="C16" s="160">
        <v>100</v>
      </c>
      <c r="D16" s="161">
        <v>100</v>
      </c>
      <c r="E16" s="162">
        <v>4200</v>
      </c>
      <c r="F16" s="174">
        <v>106.32</v>
      </c>
      <c r="G16" s="161">
        <v>106.32</v>
      </c>
      <c r="H16" s="162">
        <v>4465.4399999999996</v>
      </c>
      <c r="I16" s="161">
        <v>112.16759999999999</v>
      </c>
      <c r="J16" s="161">
        <v>112.16759999999999</v>
      </c>
      <c r="K16" s="162">
        <v>4711.0391999999993</v>
      </c>
      <c r="L16" s="161">
        <v>117.77598</v>
      </c>
      <c r="M16" s="161">
        <v>117.77598</v>
      </c>
      <c r="N16" s="162">
        <v>4946.5911599999999</v>
      </c>
      <c r="O16" s="161">
        <v>123.0758991</v>
      </c>
      <c r="P16" s="161">
        <v>123.0758991</v>
      </c>
      <c r="Q16" s="162">
        <v>5169.1877622000002</v>
      </c>
      <c r="R16" s="161">
        <v>123.0758991</v>
      </c>
      <c r="S16" s="161">
        <v>123.0758991</v>
      </c>
      <c r="T16" s="162">
        <v>5169.1877622000002</v>
      </c>
      <c r="U16" s="161">
        <v>127.99893506400001</v>
      </c>
      <c r="V16" s="161">
        <v>127.99893506400001</v>
      </c>
      <c r="W16" s="162">
        <v>5375.9552726880002</v>
      </c>
      <c r="X16" s="161">
        <v>133.12389246656002</v>
      </c>
      <c r="Y16" s="161">
        <v>133.12389246656002</v>
      </c>
      <c r="Z16" s="162">
        <v>5591.203483595521</v>
      </c>
      <c r="AA16" s="161">
        <v>139.78008708988804</v>
      </c>
      <c r="AB16" s="161">
        <v>139.78008708988804</v>
      </c>
      <c r="AC16" s="162">
        <v>5870.7636577752974</v>
      </c>
      <c r="AD16" s="161">
        <v>143.97</v>
      </c>
      <c r="AE16" s="165">
        <v>143.97</v>
      </c>
      <c r="AF16" s="162">
        <f t="shared" si="20"/>
        <v>6046.74</v>
      </c>
      <c r="AG16" s="161">
        <f t="shared" si="8"/>
        <v>148.28909999999999</v>
      </c>
      <c r="AH16" s="165">
        <f t="shared" si="8"/>
        <v>148.28909999999999</v>
      </c>
      <c r="AI16" s="162">
        <f t="shared" si="21"/>
        <v>6228.1421999999993</v>
      </c>
      <c r="AJ16" s="161">
        <f t="shared" si="9"/>
        <v>152.737773</v>
      </c>
      <c r="AK16" s="165">
        <f t="shared" si="9"/>
        <v>152.737773</v>
      </c>
      <c r="AL16" s="162">
        <f>AK16*42</f>
        <v>6414.9864660000003</v>
      </c>
      <c r="AM16" s="373" t="s">
        <v>97</v>
      </c>
      <c r="AN16" s="391">
        <v>81.211470640000002</v>
      </c>
      <c r="AO16" s="392">
        <v>81.211470640000002</v>
      </c>
      <c r="AP16" s="393">
        <v>3410.8817668800002</v>
      </c>
      <c r="AQ16" s="373" t="s">
        <v>97</v>
      </c>
      <c r="AR16" s="391">
        <f t="shared" si="10"/>
        <v>83.647814759200003</v>
      </c>
      <c r="AS16" s="392">
        <f t="shared" si="11"/>
        <v>83.647814759200003</v>
      </c>
      <c r="AT16" s="393">
        <f t="shared" si="12"/>
        <v>3513.2082198864005</v>
      </c>
      <c r="AU16" s="391">
        <f t="shared" si="13"/>
        <v>86.157249201976001</v>
      </c>
      <c r="AV16" s="392">
        <f t="shared" si="14"/>
        <v>86.157249201976001</v>
      </c>
      <c r="AW16" s="393">
        <f t="shared" si="15"/>
        <v>3618.6044664829924</v>
      </c>
      <c r="AX16" s="391">
        <f t="shared" si="16"/>
        <v>88.741966678035283</v>
      </c>
      <c r="AY16" s="392">
        <f t="shared" si="17"/>
        <v>88.741966678035283</v>
      </c>
      <c r="AZ16" s="393">
        <f t="shared" si="18"/>
        <v>3727.1626004774821</v>
      </c>
      <c r="BA16" s="391">
        <f t="shared" si="19"/>
        <v>91.404225678376349</v>
      </c>
      <c r="BB16" s="392">
        <f t="shared" si="0"/>
        <v>91.404225678376349</v>
      </c>
      <c r="BC16" s="393">
        <f t="shared" si="1"/>
        <v>3838.9774784918068</v>
      </c>
      <c r="BD16" s="391">
        <f t="shared" si="2"/>
        <v>94.14635244872764</v>
      </c>
      <c r="BE16" s="392">
        <f t="shared" si="3"/>
        <v>94.14635244872764</v>
      </c>
      <c r="BF16" s="393">
        <f t="shared" si="4"/>
        <v>3954.1468028465611</v>
      </c>
      <c r="BG16" s="391">
        <f t="shared" si="5"/>
        <v>96.970743022189467</v>
      </c>
      <c r="BH16" s="392">
        <f t="shared" si="6"/>
        <v>96.970743022189467</v>
      </c>
      <c r="BI16" s="393">
        <f t="shared" si="7"/>
        <v>4072.7712069319582</v>
      </c>
    </row>
    <row r="17" spans="1:61" ht="15" thickBot="1">
      <c r="A17" s="206">
        <v>224</v>
      </c>
      <c r="B17" s="223" t="s">
        <v>101</v>
      </c>
      <c r="C17" s="208">
        <v>106.75</v>
      </c>
      <c r="D17" s="209">
        <v>206.75</v>
      </c>
      <c r="E17" s="210">
        <v>8683.5</v>
      </c>
      <c r="F17" s="224">
        <v>129</v>
      </c>
      <c r="G17" s="209">
        <v>235.32</v>
      </c>
      <c r="H17" s="210">
        <v>9883.44</v>
      </c>
      <c r="I17" s="216">
        <v>136.095</v>
      </c>
      <c r="J17" s="209">
        <v>248.27259999999998</v>
      </c>
      <c r="K17" s="210">
        <v>10427.449199999999</v>
      </c>
      <c r="L17" s="216">
        <v>142.89975000000001</v>
      </c>
      <c r="M17" s="209">
        <v>260.67573000000004</v>
      </c>
      <c r="N17" s="210">
        <v>10948.380660000003</v>
      </c>
      <c r="O17" s="216">
        <v>149.33023875000001</v>
      </c>
      <c r="P17" s="209">
        <v>272.40613784999999</v>
      </c>
      <c r="Q17" s="210">
        <v>11441.0577897</v>
      </c>
      <c r="R17" s="216">
        <v>149.33023875000001</v>
      </c>
      <c r="S17" s="209">
        <v>272.40613784999999</v>
      </c>
      <c r="T17" s="210">
        <v>11441.0577897</v>
      </c>
      <c r="U17" s="216">
        <v>155.30344830000001</v>
      </c>
      <c r="V17" s="209">
        <v>283.30238336400004</v>
      </c>
      <c r="W17" s="210">
        <v>11898.700101288001</v>
      </c>
      <c r="X17" s="209">
        <v>161.50558623200004</v>
      </c>
      <c r="Y17" s="209">
        <v>294.62947869856009</v>
      </c>
      <c r="Z17" s="210">
        <v>12374.438105339525</v>
      </c>
      <c r="AA17" s="209">
        <v>169.58086554360005</v>
      </c>
      <c r="AB17" s="209">
        <v>309.36095263348807</v>
      </c>
      <c r="AC17" s="210">
        <v>12993.160010606498</v>
      </c>
      <c r="AD17" s="209">
        <v>174.67</v>
      </c>
      <c r="AE17" s="212">
        <v>318.64</v>
      </c>
      <c r="AF17" s="210">
        <f t="shared" si="20"/>
        <v>13382.88</v>
      </c>
      <c r="AG17" s="209">
        <f t="shared" si="8"/>
        <v>179.9101</v>
      </c>
      <c r="AH17" s="212">
        <f t="shared" si="8"/>
        <v>328.19920000000002</v>
      </c>
      <c r="AI17" s="210">
        <f>AH17*42</f>
        <v>13784.366400000001</v>
      </c>
      <c r="AJ17" s="209">
        <f t="shared" si="9"/>
        <v>185.30740299999999</v>
      </c>
      <c r="AK17" s="212">
        <f t="shared" si="9"/>
        <v>338.04517600000003</v>
      </c>
      <c r="AL17" s="210">
        <f t="shared" si="22"/>
        <v>14197.897392000001</v>
      </c>
      <c r="AM17" s="373" t="s">
        <v>100</v>
      </c>
      <c r="AN17" s="391">
        <v>157.31990619000001</v>
      </c>
      <c r="AO17" s="392">
        <v>157.31990619000001</v>
      </c>
      <c r="AP17" s="393">
        <v>6607.4360599800002</v>
      </c>
      <c r="AQ17" s="373" t="s">
        <v>100</v>
      </c>
      <c r="AR17" s="391">
        <f t="shared" si="10"/>
        <v>162.03950337570001</v>
      </c>
      <c r="AS17" s="392">
        <f t="shared" si="11"/>
        <v>162.03950337570001</v>
      </c>
      <c r="AT17" s="393">
        <f t="shared" si="12"/>
        <v>6805.6591417794007</v>
      </c>
      <c r="AU17" s="391">
        <f t="shared" si="13"/>
        <v>166.900688476971</v>
      </c>
      <c r="AV17" s="392">
        <f t="shared" si="14"/>
        <v>166.900688476971</v>
      </c>
      <c r="AW17" s="393">
        <f t="shared" si="15"/>
        <v>7009.8289160327831</v>
      </c>
      <c r="AX17" s="391">
        <f t="shared" si="16"/>
        <v>171.90770913128014</v>
      </c>
      <c r="AY17" s="392">
        <f t="shared" si="17"/>
        <v>171.90770913128014</v>
      </c>
      <c r="AZ17" s="393">
        <f t="shared" si="18"/>
        <v>7220.1237835137672</v>
      </c>
      <c r="BA17" s="391">
        <f t="shared" si="19"/>
        <v>177.06494040521855</v>
      </c>
      <c r="BB17" s="392">
        <f t="shared" si="0"/>
        <v>177.06494040521855</v>
      </c>
      <c r="BC17" s="393">
        <f t="shared" si="1"/>
        <v>7436.7274970191802</v>
      </c>
      <c r="BD17" s="391">
        <f t="shared" si="2"/>
        <v>182.3768886173751</v>
      </c>
      <c r="BE17" s="392">
        <f t="shared" si="3"/>
        <v>182.3768886173751</v>
      </c>
      <c r="BF17" s="393">
        <f t="shared" si="4"/>
        <v>7659.8293219297557</v>
      </c>
      <c r="BG17" s="391">
        <f t="shared" si="5"/>
        <v>187.84819527589636</v>
      </c>
      <c r="BH17" s="392">
        <f t="shared" si="6"/>
        <v>187.84819527589636</v>
      </c>
      <c r="BI17" s="393">
        <f t="shared" si="7"/>
        <v>7889.6242015876487</v>
      </c>
    </row>
    <row r="18" spans="1:61" ht="15" thickBot="1">
      <c r="A18" s="159">
        <v>210</v>
      </c>
      <c r="B18" s="150" t="s">
        <v>97</v>
      </c>
      <c r="C18" s="160">
        <v>15</v>
      </c>
      <c r="D18" s="161">
        <v>15</v>
      </c>
      <c r="E18" s="162">
        <v>630</v>
      </c>
      <c r="F18" s="222">
        <v>35.32</v>
      </c>
      <c r="G18" s="154">
        <v>35.32</v>
      </c>
      <c r="H18" s="162">
        <v>1483.44</v>
      </c>
      <c r="I18" s="161">
        <v>37.262599999999999</v>
      </c>
      <c r="J18" s="161">
        <v>37.26</v>
      </c>
      <c r="K18" s="162">
        <v>1564.9199999999998</v>
      </c>
      <c r="L18" s="161">
        <v>39.125729999999997</v>
      </c>
      <c r="M18" s="161">
        <v>39.125729999999997</v>
      </c>
      <c r="N18" s="162">
        <v>1643.2806599999999</v>
      </c>
      <c r="O18" s="161">
        <v>40.886387849999991</v>
      </c>
      <c r="P18" s="161">
        <v>40.886387849999991</v>
      </c>
      <c r="Q18" s="162">
        <v>1717.2282896999996</v>
      </c>
      <c r="R18" s="161">
        <v>63.55</v>
      </c>
      <c r="S18" s="161">
        <v>63.55</v>
      </c>
      <c r="T18" s="162">
        <v>2669.1</v>
      </c>
      <c r="U18" s="161">
        <v>66.091999999999999</v>
      </c>
      <c r="V18" s="161">
        <v>66.091999999999999</v>
      </c>
      <c r="W18" s="162">
        <v>2775.864</v>
      </c>
      <c r="X18" s="161">
        <v>68.725679999999997</v>
      </c>
      <c r="Y18" s="161">
        <v>68.725679999999997</v>
      </c>
      <c r="Z18" s="162">
        <v>2886.47856</v>
      </c>
      <c r="AA18" s="161">
        <v>72.161963999999998</v>
      </c>
      <c r="AB18" s="161">
        <v>72.161963999999998</v>
      </c>
      <c r="AC18" s="162">
        <v>3030.8024879999998</v>
      </c>
      <c r="AD18" s="161">
        <v>74.319999999999993</v>
      </c>
      <c r="AE18" s="165">
        <v>74.319999999999993</v>
      </c>
      <c r="AF18" s="162">
        <f t="shared" si="20"/>
        <v>3121.4399999999996</v>
      </c>
      <c r="AG18" s="161">
        <f t="shared" si="8"/>
        <v>76.549599999999998</v>
      </c>
      <c r="AH18" s="165">
        <f t="shared" si="8"/>
        <v>76.549599999999998</v>
      </c>
      <c r="AI18" s="162">
        <f t="shared" si="21"/>
        <v>3215.0832</v>
      </c>
      <c r="AJ18" s="161">
        <f t="shared" si="9"/>
        <v>78.846087999999995</v>
      </c>
      <c r="AK18" s="165">
        <f t="shared" si="9"/>
        <v>78.846087999999995</v>
      </c>
      <c r="AL18" s="162">
        <f t="shared" si="22"/>
        <v>3311.5356959999999</v>
      </c>
      <c r="AM18" s="375" t="s">
        <v>101</v>
      </c>
      <c r="AN18" s="394">
        <v>190.86662508999999</v>
      </c>
      <c r="AO18" s="395">
        <v>348.18653128000005</v>
      </c>
      <c r="AP18" s="396">
        <v>14623.83431376</v>
      </c>
      <c r="AQ18" s="375" t="s">
        <v>101</v>
      </c>
      <c r="AR18" s="394">
        <f t="shared" si="10"/>
        <v>196.59262384269999</v>
      </c>
      <c r="AS18" s="395">
        <f t="shared" si="11"/>
        <v>358.63212721840006</v>
      </c>
      <c r="AT18" s="396">
        <f t="shared" si="12"/>
        <v>15062.549343172801</v>
      </c>
      <c r="AU18" s="394">
        <f t="shared" si="13"/>
        <v>202.49040255798099</v>
      </c>
      <c r="AV18" s="395">
        <f t="shared" si="14"/>
        <v>369.39109103495207</v>
      </c>
      <c r="AW18" s="396">
        <f t="shared" si="15"/>
        <v>15514.425823467986</v>
      </c>
      <c r="AX18" s="394">
        <f t="shared" si="16"/>
        <v>208.56511463472043</v>
      </c>
      <c r="AY18" s="395">
        <f t="shared" si="17"/>
        <v>380.47282376600066</v>
      </c>
      <c r="AZ18" s="396">
        <f t="shared" si="18"/>
        <v>15979.858598172026</v>
      </c>
      <c r="BA18" s="394">
        <f t="shared" si="19"/>
        <v>214.82206807376204</v>
      </c>
      <c r="BB18" s="395">
        <f t="shared" si="0"/>
        <v>391.8870084789807</v>
      </c>
      <c r="BC18" s="396">
        <f t="shared" si="1"/>
        <v>16459.254356117188</v>
      </c>
      <c r="BD18" s="394">
        <f t="shared" si="2"/>
        <v>221.26673011597489</v>
      </c>
      <c r="BE18" s="395">
        <f t="shared" si="3"/>
        <v>403.64361873335014</v>
      </c>
      <c r="BF18" s="396">
        <f t="shared" si="4"/>
        <v>16953.031986800703</v>
      </c>
      <c r="BG18" s="394">
        <f t="shared" si="5"/>
        <v>227.90473201945414</v>
      </c>
      <c r="BH18" s="395">
        <f t="shared" si="6"/>
        <v>415.75292729535067</v>
      </c>
      <c r="BI18" s="396">
        <f t="shared" si="7"/>
        <v>17461.622946404725</v>
      </c>
    </row>
    <row r="19" spans="1:61" ht="14.25">
      <c r="A19" s="159">
        <v>260</v>
      </c>
      <c r="B19" s="150" t="s">
        <v>100</v>
      </c>
      <c r="C19" s="160">
        <v>100</v>
      </c>
      <c r="D19" s="161">
        <v>100</v>
      </c>
      <c r="E19" s="162">
        <v>4200</v>
      </c>
      <c r="F19" s="174">
        <v>106.32</v>
      </c>
      <c r="G19" s="161">
        <v>106.32</v>
      </c>
      <c r="H19" s="162">
        <v>4465.4399999999996</v>
      </c>
      <c r="I19" s="161">
        <v>112.16759999999999</v>
      </c>
      <c r="J19" s="161">
        <v>112.16759999999999</v>
      </c>
      <c r="K19" s="162">
        <v>4711.0391999999993</v>
      </c>
      <c r="L19" s="161">
        <v>117.77598</v>
      </c>
      <c r="M19" s="161">
        <v>117.77598</v>
      </c>
      <c r="N19" s="162">
        <v>4946.5911599999999</v>
      </c>
      <c r="O19" s="161">
        <v>123.0758991</v>
      </c>
      <c r="P19" s="161">
        <v>123.0758991</v>
      </c>
      <c r="Q19" s="162">
        <v>5169.1877622000002</v>
      </c>
      <c r="R19" s="161">
        <v>123.0758991</v>
      </c>
      <c r="S19" s="161">
        <v>123.0758991</v>
      </c>
      <c r="T19" s="162">
        <v>5169.1877622000002</v>
      </c>
      <c r="U19" s="161">
        <v>127.99893506400001</v>
      </c>
      <c r="V19" s="161">
        <v>127.99893506400001</v>
      </c>
      <c r="W19" s="162">
        <v>5375.9552726880002</v>
      </c>
      <c r="X19" s="161">
        <v>133.11889246656003</v>
      </c>
      <c r="Y19" s="161">
        <v>133.11889246656003</v>
      </c>
      <c r="Z19" s="162">
        <v>5590.993483595521</v>
      </c>
      <c r="AA19" s="161">
        <v>139.78008708988804</v>
      </c>
      <c r="AB19" s="161">
        <v>139.78008708988804</v>
      </c>
      <c r="AC19" s="162">
        <v>5870.7636577752974</v>
      </c>
      <c r="AD19" s="161">
        <v>143.97</v>
      </c>
      <c r="AE19" s="165">
        <v>143.97</v>
      </c>
      <c r="AF19" s="162">
        <f t="shared" si="20"/>
        <v>6046.74</v>
      </c>
      <c r="AG19" s="161">
        <f t="shared" si="8"/>
        <v>148.28909999999999</v>
      </c>
      <c r="AH19" s="165">
        <f t="shared" si="8"/>
        <v>148.28909999999999</v>
      </c>
      <c r="AI19" s="162">
        <f t="shared" si="21"/>
        <v>6228.1421999999993</v>
      </c>
      <c r="AJ19" s="161">
        <f t="shared" si="9"/>
        <v>152.737773</v>
      </c>
      <c r="AK19" s="165">
        <f t="shared" si="9"/>
        <v>152.737773</v>
      </c>
      <c r="AL19" s="162">
        <f t="shared" si="22"/>
        <v>6414.9864660000003</v>
      </c>
      <c r="AM19" s="373" t="s">
        <v>97</v>
      </c>
      <c r="AN19" s="391">
        <v>81.211470640000002</v>
      </c>
      <c r="AO19" s="392">
        <v>81.211470640000002</v>
      </c>
      <c r="AP19" s="393">
        <v>3410.8817668800002</v>
      </c>
      <c r="AQ19" s="373" t="s">
        <v>97</v>
      </c>
      <c r="AR19" s="391">
        <f t="shared" si="10"/>
        <v>83.647814759200003</v>
      </c>
      <c r="AS19" s="392">
        <f t="shared" si="11"/>
        <v>83.647814759200003</v>
      </c>
      <c r="AT19" s="393">
        <f t="shared" si="12"/>
        <v>3513.2082198864005</v>
      </c>
      <c r="AU19" s="391">
        <f t="shared" si="13"/>
        <v>86.157249201976001</v>
      </c>
      <c r="AV19" s="392">
        <f t="shared" si="14"/>
        <v>86.157249201976001</v>
      </c>
      <c r="AW19" s="393">
        <f t="shared" si="15"/>
        <v>3618.6044664829924</v>
      </c>
      <c r="AX19" s="391">
        <f t="shared" si="16"/>
        <v>88.741966678035283</v>
      </c>
      <c r="AY19" s="392">
        <f t="shared" si="17"/>
        <v>88.741966678035283</v>
      </c>
      <c r="AZ19" s="393">
        <f t="shared" si="18"/>
        <v>3727.1626004774821</v>
      </c>
      <c r="BA19" s="391">
        <f t="shared" si="19"/>
        <v>91.404225678376349</v>
      </c>
      <c r="BB19" s="392">
        <f t="shared" si="0"/>
        <v>91.404225678376349</v>
      </c>
      <c r="BC19" s="393">
        <f t="shared" si="1"/>
        <v>3838.9774784918068</v>
      </c>
      <c r="BD19" s="391">
        <f t="shared" si="2"/>
        <v>94.14635244872764</v>
      </c>
      <c r="BE19" s="392">
        <f t="shared" si="3"/>
        <v>94.14635244872764</v>
      </c>
      <c r="BF19" s="393">
        <f t="shared" si="4"/>
        <v>3954.1468028465611</v>
      </c>
      <c r="BG19" s="391">
        <f t="shared" si="5"/>
        <v>96.970743022189467</v>
      </c>
      <c r="BH19" s="392">
        <f t="shared" si="6"/>
        <v>96.970743022189467</v>
      </c>
      <c r="BI19" s="393">
        <f t="shared" si="7"/>
        <v>4072.7712069319582</v>
      </c>
    </row>
    <row r="20" spans="1:61" ht="14.25">
      <c r="A20" s="166">
        <v>231</v>
      </c>
      <c r="B20" s="151" t="s">
        <v>102</v>
      </c>
      <c r="C20" s="167">
        <v>22.089552238805972</v>
      </c>
      <c r="D20" s="168">
        <v>122.09</v>
      </c>
      <c r="E20" s="169">
        <v>5127.78</v>
      </c>
      <c r="F20" s="167">
        <v>22.089552238805972</v>
      </c>
      <c r="G20" s="168">
        <v>128.40955223880596</v>
      </c>
      <c r="H20" s="169">
        <v>5393.2011940298498</v>
      </c>
      <c r="I20" s="167">
        <v>23.3044776119403</v>
      </c>
      <c r="J20" s="168">
        <v>135.47207761194028</v>
      </c>
      <c r="K20" s="169">
        <v>5689.827259701492</v>
      </c>
      <c r="L20" s="167">
        <v>24.469701492537315</v>
      </c>
      <c r="M20" s="168">
        <v>142.24568149253733</v>
      </c>
      <c r="N20" s="169">
        <v>5974.3186226865682</v>
      </c>
      <c r="O20" s="167">
        <v>25.570838059701494</v>
      </c>
      <c r="P20" s="168">
        <v>148.6467371597015</v>
      </c>
      <c r="Q20" s="169">
        <v>6243.1629607074628</v>
      </c>
      <c r="R20" s="167">
        <v>25.570838059701494</v>
      </c>
      <c r="S20" s="168">
        <v>148.6467371597015</v>
      </c>
      <c r="T20" s="169">
        <v>6243.1629607074628</v>
      </c>
      <c r="U20" s="167">
        <v>26.593671582089556</v>
      </c>
      <c r="V20" s="168">
        <v>154.59260664608956</v>
      </c>
      <c r="W20" s="169">
        <v>6492.8894791357616</v>
      </c>
      <c r="X20" s="168">
        <v>27.647418445373138</v>
      </c>
      <c r="Y20" s="168">
        <v>160.76631091193318</v>
      </c>
      <c r="Z20" s="169">
        <v>6752.1850583011937</v>
      </c>
      <c r="AA20" s="168">
        <v>29.029789367641797</v>
      </c>
      <c r="AB20" s="168">
        <v>168.80987645752984</v>
      </c>
      <c r="AC20" s="169">
        <v>7090.0148112162533</v>
      </c>
      <c r="AD20" s="168">
        <v>29.9</v>
      </c>
      <c r="AE20" s="165">
        <v>173.87</v>
      </c>
      <c r="AF20" s="169">
        <f t="shared" si="20"/>
        <v>7302.54</v>
      </c>
      <c r="AG20" s="168">
        <f t="shared" si="8"/>
        <v>30.797000000000001</v>
      </c>
      <c r="AH20" s="165">
        <f t="shared" si="8"/>
        <v>179.08610000000002</v>
      </c>
      <c r="AI20" s="169">
        <f t="shared" si="21"/>
        <v>7521.6162000000004</v>
      </c>
      <c r="AJ20" s="168">
        <f t="shared" si="9"/>
        <v>31.72091</v>
      </c>
      <c r="AK20" s="165">
        <f t="shared" si="9"/>
        <v>184.45868300000001</v>
      </c>
      <c r="AL20" s="169">
        <f>AK20*42</f>
        <v>7747.2646860000004</v>
      </c>
      <c r="AM20" s="373" t="s">
        <v>100</v>
      </c>
      <c r="AN20" s="391">
        <v>157.31990619000001</v>
      </c>
      <c r="AO20" s="392">
        <v>157.31990619000001</v>
      </c>
      <c r="AP20" s="393">
        <v>6607.4360599800002</v>
      </c>
      <c r="AQ20" s="373" t="s">
        <v>100</v>
      </c>
      <c r="AR20" s="391">
        <f t="shared" si="10"/>
        <v>162.03950337570001</v>
      </c>
      <c r="AS20" s="392">
        <f t="shared" si="11"/>
        <v>162.03950337570001</v>
      </c>
      <c r="AT20" s="393">
        <f t="shared" si="12"/>
        <v>6805.6591417794007</v>
      </c>
      <c r="AU20" s="391">
        <f t="shared" si="13"/>
        <v>166.900688476971</v>
      </c>
      <c r="AV20" s="392">
        <f t="shared" si="14"/>
        <v>166.900688476971</v>
      </c>
      <c r="AW20" s="393">
        <f t="shared" si="15"/>
        <v>7009.8289160327831</v>
      </c>
      <c r="AX20" s="391">
        <f t="shared" si="16"/>
        <v>171.90770913128014</v>
      </c>
      <c r="AY20" s="392">
        <f t="shared" si="17"/>
        <v>171.90770913128014</v>
      </c>
      <c r="AZ20" s="393">
        <f t="shared" si="18"/>
        <v>7220.1237835137672</v>
      </c>
      <c r="BA20" s="391">
        <f t="shared" si="19"/>
        <v>177.06494040521855</v>
      </c>
      <c r="BB20" s="392">
        <f t="shared" si="0"/>
        <v>177.06494040521855</v>
      </c>
      <c r="BC20" s="393">
        <f t="shared" si="1"/>
        <v>7436.7274970191802</v>
      </c>
      <c r="BD20" s="391">
        <f t="shared" si="2"/>
        <v>182.3768886173751</v>
      </c>
      <c r="BE20" s="392">
        <f t="shared" si="3"/>
        <v>182.3768886173751</v>
      </c>
      <c r="BF20" s="393">
        <f t="shared" si="4"/>
        <v>7659.8293219297557</v>
      </c>
      <c r="BG20" s="391">
        <f t="shared" si="5"/>
        <v>187.84819527589636</v>
      </c>
      <c r="BH20" s="392">
        <f t="shared" si="6"/>
        <v>187.84819527589636</v>
      </c>
      <c r="BI20" s="393">
        <f t="shared" si="7"/>
        <v>7889.6242015876487</v>
      </c>
    </row>
    <row r="21" spans="1:61" ht="14.25">
      <c r="A21" s="159">
        <v>221</v>
      </c>
      <c r="B21" s="150" t="s">
        <v>103</v>
      </c>
      <c r="C21" s="160">
        <v>40</v>
      </c>
      <c r="D21" s="161">
        <v>140</v>
      </c>
      <c r="E21" s="162">
        <v>5880</v>
      </c>
      <c r="F21" s="174">
        <v>40</v>
      </c>
      <c r="G21" s="161">
        <v>146.32</v>
      </c>
      <c r="H21" s="162">
        <v>6145.44</v>
      </c>
      <c r="I21" s="161">
        <v>42.2</v>
      </c>
      <c r="J21" s="161">
        <v>154.36759999999998</v>
      </c>
      <c r="K21" s="162">
        <v>6483.4391999999989</v>
      </c>
      <c r="L21" s="161">
        <v>44.31</v>
      </c>
      <c r="M21" s="161">
        <v>162.08598000000001</v>
      </c>
      <c r="N21" s="162">
        <v>6807.6111600000004</v>
      </c>
      <c r="O21" s="161">
        <v>46.30395</v>
      </c>
      <c r="P21" s="161">
        <v>169.3798491</v>
      </c>
      <c r="Q21" s="162">
        <v>7113.9536621999996</v>
      </c>
      <c r="R21" s="161">
        <v>46.30395</v>
      </c>
      <c r="S21" s="161">
        <v>169.3798491</v>
      </c>
      <c r="T21" s="162">
        <v>7113.9536621999996</v>
      </c>
      <c r="U21" s="161">
        <v>48.156108000000003</v>
      </c>
      <c r="V21" s="161">
        <v>176.15504306400001</v>
      </c>
      <c r="W21" s="162">
        <v>7398.5118086880002</v>
      </c>
      <c r="X21" s="161">
        <v>50.092352320000003</v>
      </c>
      <c r="Y21" s="161">
        <v>183.21124478656003</v>
      </c>
      <c r="Z21" s="162">
        <v>7694.8722810355212</v>
      </c>
      <c r="AA21" s="161">
        <v>52.58696993600001</v>
      </c>
      <c r="AB21" s="161">
        <v>192.36705702588804</v>
      </c>
      <c r="AC21" s="162">
        <v>8079.416395087298</v>
      </c>
      <c r="AD21" s="161">
        <v>54.17</v>
      </c>
      <c r="AE21" s="165">
        <v>198.14</v>
      </c>
      <c r="AF21" s="162">
        <f t="shared" si="20"/>
        <v>8321.8799999999992</v>
      </c>
      <c r="AG21" s="161">
        <f>AD21*(1+$AI$2)-0.01</f>
        <v>55.785100000000007</v>
      </c>
      <c r="AH21" s="165">
        <f t="shared" si="8"/>
        <v>204.08419999999998</v>
      </c>
      <c r="AI21" s="162">
        <f t="shared" si="21"/>
        <v>8571.536399999999</v>
      </c>
      <c r="AJ21" s="161">
        <f>AG21*(1+$AI$2)-0.01</f>
        <v>57.448653000000007</v>
      </c>
      <c r="AK21" s="165">
        <f>AH21*(1+$AI$2)-0.02</f>
        <v>210.18672599999996</v>
      </c>
      <c r="AL21" s="162">
        <f t="shared" si="22"/>
        <v>8827.8424919999979</v>
      </c>
      <c r="AM21" s="373" t="s">
        <v>102</v>
      </c>
      <c r="AN21" s="391">
        <v>32.672537300000002</v>
      </c>
      <c r="AO21" s="392">
        <v>189.99244349</v>
      </c>
      <c r="AP21" s="393">
        <v>7979.6826265800009</v>
      </c>
      <c r="AQ21" s="373" t="s">
        <v>102</v>
      </c>
      <c r="AR21" s="391">
        <f t="shared" si="10"/>
        <v>33.652713419000001</v>
      </c>
      <c r="AS21" s="392">
        <f t="shared" si="11"/>
        <v>195.69221679470002</v>
      </c>
      <c r="AT21" s="393">
        <f t="shared" si="12"/>
        <v>8219.0731053774016</v>
      </c>
      <c r="AU21" s="391">
        <f t="shared" si="13"/>
        <v>34.662294821570001</v>
      </c>
      <c r="AV21" s="392">
        <f t="shared" si="14"/>
        <v>201.56298329854101</v>
      </c>
      <c r="AW21" s="393">
        <f t="shared" si="15"/>
        <v>8465.6452985387241</v>
      </c>
      <c r="AX21" s="391">
        <f t="shared" si="16"/>
        <v>35.702163666217103</v>
      </c>
      <c r="AY21" s="392">
        <f t="shared" si="17"/>
        <v>207.60987279749725</v>
      </c>
      <c r="AZ21" s="393">
        <f t="shared" si="18"/>
        <v>8719.6146574948853</v>
      </c>
      <c r="BA21" s="391">
        <f t="shared" si="19"/>
        <v>36.773228576203614</v>
      </c>
      <c r="BB21" s="392">
        <f t="shared" si="0"/>
        <v>213.83816898142217</v>
      </c>
      <c r="BC21" s="393">
        <f t="shared" si="1"/>
        <v>8981.2030972197317</v>
      </c>
      <c r="BD21" s="391">
        <f t="shared" si="2"/>
        <v>37.876425433489722</v>
      </c>
      <c r="BE21" s="392">
        <f t="shared" si="3"/>
        <v>220.25331405086484</v>
      </c>
      <c r="BF21" s="393">
        <f t="shared" si="4"/>
        <v>9250.639190136324</v>
      </c>
      <c r="BG21" s="391">
        <f t="shared" si="5"/>
        <v>39.012718196494411</v>
      </c>
      <c r="BH21" s="392">
        <f t="shared" si="6"/>
        <v>226.86091347239079</v>
      </c>
      <c r="BI21" s="393">
        <f t="shared" si="7"/>
        <v>9528.1583658404143</v>
      </c>
    </row>
    <row r="22" spans="1:61" ht="14.25">
      <c r="A22" s="159">
        <v>225</v>
      </c>
      <c r="B22" s="214" t="s">
        <v>104</v>
      </c>
      <c r="C22" s="160">
        <v>19.07</v>
      </c>
      <c r="D22" s="161">
        <v>159.07</v>
      </c>
      <c r="E22" s="162">
        <v>6680.94</v>
      </c>
      <c r="F22" s="174">
        <v>74</v>
      </c>
      <c r="G22" s="161">
        <v>220.32</v>
      </c>
      <c r="H22" s="162">
        <v>9253.44</v>
      </c>
      <c r="I22" s="161">
        <v>78.069999999999993</v>
      </c>
      <c r="J22" s="161">
        <v>232.43759999999997</v>
      </c>
      <c r="K22" s="162">
        <v>9762.3791999999994</v>
      </c>
      <c r="L22" s="161">
        <v>81.973500000000001</v>
      </c>
      <c r="M22" s="161">
        <v>244.05948000000001</v>
      </c>
      <c r="N22" s="162">
        <v>10250.498160000001</v>
      </c>
      <c r="O22" s="161">
        <v>85.662307499999997</v>
      </c>
      <c r="P22" s="161">
        <v>255.0421566</v>
      </c>
      <c r="Q22" s="162">
        <v>10711.770577200001</v>
      </c>
      <c r="R22" s="161">
        <v>85.662307499999997</v>
      </c>
      <c r="S22" s="161">
        <v>255.0421566</v>
      </c>
      <c r="T22" s="162">
        <v>10711.770577200001</v>
      </c>
      <c r="U22" s="161">
        <v>89.088799800000004</v>
      </c>
      <c r="V22" s="161">
        <v>265.24384286400004</v>
      </c>
      <c r="W22" s="162">
        <v>11140.241400288001</v>
      </c>
      <c r="X22" s="161">
        <v>92.642351791999999</v>
      </c>
      <c r="Y22" s="161">
        <v>275.85359657856003</v>
      </c>
      <c r="Z22" s="162">
        <v>11585.851056299522</v>
      </c>
      <c r="AA22" s="161">
        <v>97.284469381600005</v>
      </c>
      <c r="AB22" s="161">
        <v>289.65152640748806</v>
      </c>
      <c r="AC22" s="162">
        <v>12165.364109114498</v>
      </c>
      <c r="AD22" s="161">
        <v>100.2</v>
      </c>
      <c r="AE22" s="165">
        <v>298.33999999999997</v>
      </c>
      <c r="AF22" s="162">
        <f t="shared" si="20"/>
        <v>12530.279999999999</v>
      </c>
      <c r="AG22" s="161">
        <f t="shared" si="8"/>
        <v>103.206</v>
      </c>
      <c r="AH22" s="165">
        <f t="shared" si="8"/>
        <v>307.29019999999997</v>
      </c>
      <c r="AI22" s="162">
        <f t="shared" si="21"/>
        <v>12906.188399999999</v>
      </c>
      <c r="AJ22" s="161">
        <f t="shared" ref="AJ22:AK35" si="23">AG22*(1+$AI$2)</f>
        <v>106.30218000000001</v>
      </c>
      <c r="AK22" s="165">
        <f>AH22*(1+$AI$2)-0.02</f>
        <v>316.48890599999999</v>
      </c>
      <c r="AL22" s="162">
        <f t="shared" si="22"/>
        <v>13292.534051999999</v>
      </c>
      <c r="AM22" s="373" t="s">
        <v>103</v>
      </c>
      <c r="AN22" s="391">
        <v>59.172112590000012</v>
      </c>
      <c r="AO22" s="392">
        <v>216.49232777999998</v>
      </c>
      <c r="AP22" s="393">
        <v>9092.6777667599981</v>
      </c>
      <c r="AQ22" s="373" t="s">
        <v>103</v>
      </c>
      <c r="AR22" s="391">
        <f t="shared" si="10"/>
        <v>60.947275967700016</v>
      </c>
      <c r="AS22" s="392">
        <f t="shared" si="11"/>
        <v>222.98709761339998</v>
      </c>
      <c r="AT22" s="393">
        <f t="shared" si="12"/>
        <v>9365.4580997627982</v>
      </c>
      <c r="AU22" s="391">
        <f t="shared" si="13"/>
        <v>62.775694246731021</v>
      </c>
      <c r="AV22" s="392">
        <f t="shared" si="14"/>
        <v>229.67671054180198</v>
      </c>
      <c r="AW22" s="393">
        <f t="shared" si="15"/>
        <v>9646.4218427556825</v>
      </c>
      <c r="AX22" s="391">
        <f t="shared" si="16"/>
        <v>64.658965074132951</v>
      </c>
      <c r="AY22" s="392">
        <f t="shared" si="17"/>
        <v>236.56701185805605</v>
      </c>
      <c r="AZ22" s="393">
        <f t="shared" si="18"/>
        <v>9935.8144980383531</v>
      </c>
      <c r="BA22" s="391">
        <f t="shared" si="19"/>
        <v>66.598734026356937</v>
      </c>
      <c r="BB22" s="392">
        <f t="shared" si="0"/>
        <v>243.66402221379775</v>
      </c>
      <c r="BC22" s="393">
        <f t="shared" si="1"/>
        <v>10233.888932979504</v>
      </c>
      <c r="BD22" s="391">
        <f t="shared" si="2"/>
        <v>68.596696047147645</v>
      </c>
      <c r="BE22" s="392">
        <f t="shared" si="3"/>
        <v>250.97394288021169</v>
      </c>
      <c r="BF22" s="393">
        <f t="shared" si="4"/>
        <v>10540.905600968888</v>
      </c>
      <c r="BG22" s="391">
        <f t="shared" si="5"/>
        <v>70.654596928562071</v>
      </c>
      <c r="BH22" s="392">
        <f t="shared" si="6"/>
        <v>258.50316116661804</v>
      </c>
      <c r="BI22" s="393">
        <f t="shared" si="7"/>
        <v>10857.132768997955</v>
      </c>
    </row>
    <row r="23" spans="1:61" ht="14.25">
      <c r="A23" s="159">
        <v>228</v>
      </c>
      <c r="B23" s="150" t="s">
        <v>105</v>
      </c>
      <c r="C23" s="160">
        <v>47.68</v>
      </c>
      <c r="D23" s="161">
        <v>206.75</v>
      </c>
      <c r="E23" s="162">
        <v>8683.5</v>
      </c>
      <c r="F23" s="174">
        <v>15</v>
      </c>
      <c r="G23" s="161">
        <v>235.32</v>
      </c>
      <c r="H23" s="162">
        <v>9883.44</v>
      </c>
      <c r="I23" s="161">
        <v>15.824999999999999</v>
      </c>
      <c r="J23" s="161">
        <v>248.27259999999995</v>
      </c>
      <c r="K23" s="162">
        <v>10427.449199999997</v>
      </c>
      <c r="L23" s="161">
        <v>16.616250000000001</v>
      </c>
      <c r="M23" s="161">
        <v>260.67572999999999</v>
      </c>
      <c r="N23" s="162">
        <v>10948.380659999999</v>
      </c>
      <c r="O23" s="161">
        <v>17.372289375000001</v>
      </c>
      <c r="P23" s="161">
        <v>272.41444597499998</v>
      </c>
      <c r="Q23" s="162">
        <v>11441.406730949999</v>
      </c>
      <c r="R23" s="161">
        <v>17.363981249999998</v>
      </c>
      <c r="S23" s="161">
        <v>272.40613784999999</v>
      </c>
      <c r="T23" s="162">
        <v>11441.0577897</v>
      </c>
      <c r="U23" s="161">
        <v>18.058540499999999</v>
      </c>
      <c r="V23" s="161">
        <v>283.30238336400004</v>
      </c>
      <c r="W23" s="162">
        <v>11898.700101288001</v>
      </c>
      <c r="X23" s="161">
        <v>18.780882120000001</v>
      </c>
      <c r="Y23" s="161">
        <v>294.63447869856003</v>
      </c>
      <c r="Z23" s="162">
        <v>12374.648105339522</v>
      </c>
      <c r="AA23" s="161">
        <v>19.709926226</v>
      </c>
      <c r="AB23" s="161">
        <v>309.36145263348806</v>
      </c>
      <c r="AC23" s="162">
        <v>12993.181010606499</v>
      </c>
      <c r="AD23" s="161">
        <v>20.3</v>
      </c>
      <c r="AE23" s="165">
        <v>318.64</v>
      </c>
      <c r="AF23" s="162">
        <f t="shared" si="20"/>
        <v>13382.88</v>
      </c>
      <c r="AG23" s="161">
        <f t="shared" si="8"/>
        <v>20.909000000000002</v>
      </c>
      <c r="AH23" s="165">
        <f t="shared" si="8"/>
        <v>328.19920000000002</v>
      </c>
      <c r="AI23" s="162">
        <f t="shared" si="21"/>
        <v>13784.366400000001</v>
      </c>
      <c r="AJ23" s="161">
        <f>AG23*(1+$AI$2)+0.03</f>
        <v>21.566270000000003</v>
      </c>
      <c r="AK23" s="165">
        <f>AH23*(1+$AI$2)</f>
        <v>338.04517600000003</v>
      </c>
      <c r="AL23" s="162">
        <f t="shared" si="22"/>
        <v>14197.897392000001</v>
      </c>
      <c r="AM23" s="373" t="s">
        <v>104</v>
      </c>
      <c r="AN23" s="391">
        <v>109.49124540000001</v>
      </c>
      <c r="AO23" s="392">
        <v>325.98357318000001</v>
      </c>
      <c r="AP23" s="393">
        <v>13691.31007356</v>
      </c>
      <c r="AQ23" s="373" t="s">
        <v>104</v>
      </c>
      <c r="AR23" s="391">
        <f t="shared" si="10"/>
        <v>112.77598276200001</v>
      </c>
      <c r="AS23" s="392">
        <f t="shared" si="11"/>
        <v>335.76308037540002</v>
      </c>
      <c r="AT23" s="393">
        <f t="shared" si="12"/>
        <v>14102.049375766801</v>
      </c>
      <c r="AU23" s="391">
        <f t="shared" si="13"/>
        <v>116.15926224486002</v>
      </c>
      <c r="AV23" s="392">
        <f t="shared" si="14"/>
        <v>345.83597278666201</v>
      </c>
      <c r="AW23" s="393">
        <f t="shared" si="15"/>
        <v>14525.110857039805</v>
      </c>
      <c r="AX23" s="391">
        <f t="shared" si="16"/>
        <v>119.64404011220581</v>
      </c>
      <c r="AY23" s="392">
        <f t="shared" si="17"/>
        <v>356.21105197026191</v>
      </c>
      <c r="AZ23" s="393">
        <f t="shared" si="18"/>
        <v>14960.864182751</v>
      </c>
      <c r="BA23" s="391">
        <f t="shared" si="19"/>
        <v>123.233361315572</v>
      </c>
      <c r="BB23" s="392">
        <f t="shared" si="0"/>
        <v>366.89738352936979</v>
      </c>
      <c r="BC23" s="393">
        <f t="shared" si="1"/>
        <v>15409.69010823353</v>
      </c>
      <c r="BD23" s="391">
        <f t="shared" si="2"/>
        <v>126.93036215503916</v>
      </c>
      <c r="BE23" s="392">
        <f t="shared" si="3"/>
        <v>377.9043050352509</v>
      </c>
      <c r="BF23" s="393">
        <f t="shared" si="4"/>
        <v>15871.980811480536</v>
      </c>
      <c r="BG23" s="391">
        <f t="shared" si="5"/>
        <v>130.73827301969035</v>
      </c>
      <c r="BH23" s="392">
        <f t="shared" si="6"/>
        <v>389.24143418630842</v>
      </c>
      <c r="BI23" s="393">
        <f t="shared" si="7"/>
        <v>16348.140235824952</v>
      </c>
    </row>
    <row r="24" spans="1:61" ht="15" thickBot="1">
      <c r="A24" s="206">
        <v>227</v>
      </c>
      <c r="B24" s="223" t="s">
        <v>106</v>
      </c>
      <c r="C24" s="216">
        <v>0</v>
      </c>
      <c r="D24" s="209">
        <v>0</v>
      </c>
      <c r="E24" s="210">
        <v>0</v>
      </c>
      <c r="F24" s="209">
        <v>0</v>
      </c>
      <c r="G24" s="209">
        <v>0</v>
      </c>
      <c r="H24" s="210">
        <v>0</v>
      </c>
      <c r="I24" s="216">
        <v>0</v>
      </c>
      <c r="J24" s="209">
        <v>0</v>
      </c>
      <c r="K24" s="210">
        <v>0</v>
      </c>
      <c r="L24" s="216">
        <v>0</v>
      </c>
      <c r="M24" s="209">
        <v>0</v>
      </c>
      <c r="N24" s="210">
        <v>0</v>
      </c>
      <c r="O24" s="216">
        <v>0</v>
      </c>
      <c r="P24" s="209">
        <v>0</v>
      </c>
      <c r="Q24" s="210">
        <v>0</v>
      </c>
      <c r="R24" s="216">
        <v>0</v>
      </c>
      <c r="S24" s="209">
        <v>0</v>
      </c>
      <c r="T24" s="210">
        <v>0</v>
      </c>
      <c r="U24" s="216">
        <v>0</v>
      </c>
      <c r="V24" s="209">
        <v>0</v>
      </c>
      <c r="W24" s="210">
        <v>0</v>
      </c>
      <c r="X24" s="209">
        <v>0</v>
      </c>
      <c r="Y24" s="209">
        <v>0</v>
      </c>
      <c r="Z24" s="210">
        <v>0</v>
      </c>
      <c r="AA24" s="209">
        <v>0</v>
      </c>
      <c r="AB24" s="209">
        <v>0</v>
      </c>
      <c r="AC24" s="210">
        <v>0</v>
      </c>
      <c r="AD24" s="209">
        <v>0</v>
      </c>
      <c r="AE24" s="212">
        <v>0</v>
      </c>
      <c r="AF24" s="210">
        <f t="shared" si="20"/>
        <v>0</v>
      </c>
      <c r="AG24" s="209">
        <f t="shared" si="8"/>
        <v>0</v>
      </c>
      <c r="AH24" s="212">
        <f t="shared" si="8"/>
        <v>0</v>
      </c>
      <c r="AI24" s="210">
        <f t="shared" si="21"/>
        <v>0</v>
      </c>
      <c r="AJ24" s="209">
        <f t="shared" si="23"/>
        <v>0</v>
      </c>
      <c r="AK24" s="212">
        <f t="shared" si="23"/>
        <v>0</v>
      </c>
      <c r="AL24" s="210">
        <f t="shared" si="22"/>
        <v>0</v>
      </c>
      <c r="AM24" s="373" t="s">
        <v>105</v>
      </c>
      <c r="AN24" s="391">
        <v>22.213258100000004</v>
      </c>
      <c r="AO24" s="392">
        <v>348.18653128000005</v>
      </c>
      <c r="AP24" s="393">
        <v>14623.83431376</v>
      </c>
      <c r="AQ24" s="373" t="s">
        <v>105</v>
      </c>
      <c r="AR24" s="391">
        <f t="shared" si="10"/>
        <v>22.879655843000005</v>
      </c>
      <c r="AS24" s="392">
        <f t="shared" si="11"/>
        <v>358.63212721840006</v>
      </c>
      <c r="AT24" s="393">
        <f t="shared" si="12"/>
        <v>15062.549343172801</v>
      </c>
      <c r="AU24" s="391">
        <f t="shared" si="13"/>
        <v>23.566045518290007</v>
      </c>
      <c r="AV24" s="392">
        <f t="shared" si="14"/>
        <v>369.39109103495207</v>
      </c>
      <c r="AW24" s="393">
        <f t="shared" si="15"/>
        <v>15514.425823467986</v>
      </c>
      <c r="AX24" s="391">
        <f t="shared" si="16"/>
        <v>24.273026883838707</v>
      </c>
      <c r="AY24" s="392">
        <f t="shared" si="17"/>
        <v>380.47282376600066</v>
      </c>
      <c r="AZ24" s="393">
        <f t="shared" si="18"/>
        <v>15979.858598172026</v>
      </c>
      <c r="BA24" s="391">
        <f t="shared" si="19"/>
        <v>25.001217690353869</v>
      </c>
      <c r="BB24" s="392">
        <f t="shared" si="0"/>
        <v>391.8870084789807</v>
      </c>
      <c r="BC24" s="393">
        <f t="shared" si="1"/>
        <v>16459.254356117188</v>
      </c>
      <c r="BD24" s="391">
        <f t="shared" si="2"/>
        <v>25.751254221064485</v>
      </c>
      <c r="BE24" s="392">
        <f t="shared" si="3"/>
        <v>403.64361873335014</v>
      </c>
      <c r="BF24" s="393">
        <f t="shared" si="4"/>
        <v>16953.031986800703</v>
      </c>
      <c r="BG24" s="391">
        <f t="shared" si="5"/>
        <v>26.523791847696419</v>
      </c>
      <c r="BH24" s="392">
        <f t="shared" si="6"/>
        <v>415.75292729535067</v>
      </c>
      <c r="BI24" s="393">
        <f t="shared" si="7"/>
        <v>17461.622946404725</v>
      </c>
    </row>
    <row r="25" spans="1:61" ht="15" thickBot="1">
      <c r="A25" s="159">
        <v>210</v>
      </c>
      <c r="B25" s="150" t="s">
        <v>97</v>
      </c>
      <c r="C25" s="160">
        <v>15</v>
      </c>
      <c r="D25" s="161">
        <v>15</v>
      </c>
      <c r="E25" s="162">
        <v>630</v>
      </c>
      <c r="F25" s="222">
        <v>35.32</v>
      </c>
      <c r="G25" s="154">
        <v>35.32</v>
      </c>
      <c r="H25" s="162">
        <v>1483.44</v>
      </c>
      <c r="I25" s="161">
        <v>37.262599999999999</v>
      </c>
      <c r="J25" s="161">
        <v>37.262599999999999</v>
      </c>
      <c r="K25" s="162">
        <v>1565.0291999999999</v>
      </c>
      <c r="L25" s="161">
        <v>39.125729999999997</v>
      </c>
      <c r="M25" s="161">
        <v>39.125729999999997</v>
      </c>
      <c r="N25" s="162">
        <v>1643.2806599999999</v>
      </c>
      <c r="O25" s="161">
        <v>40.886387849999991</v>
      </c>
      <c r="P25" s="161">
        <v>40.886387849999991</v>
      </c>
      <c r="Q25" s="162">
        <v>1717.2282896999996</v>
      </c>
      <c r="R25" s="161">
        <v>63.55</v>
      </c>
      <c r="S25" s="161">
        <v>63.55</v>
      </c>
      <c r="T25" s="162">
        <v>2669.1</v>
      </c>
      <c r="U25" s="161">
        <v>66.091999999999999</v>
      </c>
      <c r="V25" s="161">
        <v>66.091999999999999</v>
      </c>
      <c r="W25" s="162">
        <v>2775.864</v>
      </c>
      <c r="X25" s="161">
        <v>68.725679999999997</v>
      </c>
      <c r="Y25" s="161">
        <v>68.725679999999997</v>
      </c>
      <c r="Z25" s="162">
        <v>2886.47856</v>
      </c>
      <c r="AA25" s="161">
        <v>72.161963999999998</v>
      </c>
      <c r="AB25" s="161">
        <v>72.161963999999998</v>
      </c>
      <c r="AC25" s="162">
        <v>3030.8024879999998</v>
      </c>
      <c r="AD25" s="161">
        <v>74.319999999999993</v>
      </c>
      <c r="AE25" s="165">
        <v>74.319999999999993</v>
      </c>
      <c r="AF25" s="162">
        <f t="shared" si="20"/>
        <v>3121.4399999999996</v>
      </c>
      <c r="AG25" s="161">
        <f t="shared" si="8"/>
        <v>76.549599999999998</v>
      </c>
      <c r="AH25" s="165">
        <f t="shared" si="8"/>
        <v>76.549599999999998</v>
      </c>
      <c r="AI25" s="162">
        <f t="shared" si="21"/>
        <v>3215.0832</v>
      </c>
      <c r="AJ25" s="161">
        <f t="shared" si="23"/>
        <v>78.846087999999995</v>
      </c>
      <c r="AK25" s="165">
        <f t="shared" si="23"/>
        <v>78.846087999999995</v>
      </c>
      <c r="AL25" s="162">
        <f t="shared" si="22"/>
        <v>3311.5356959999999</v>
      </c>
      <c r="AM25" s="375" t="s">
        <v>106</v>
      </c>
      <c r="AN25" s="394">
        <v>0</v>
      </c>
      <c r="AO25" s="395">
        <v>0</v>
      </c>
      <c r="AP25" s="396">
        <v>0</v>
      </c>
      <c r="AQ25" s="375" t="s">
        <v>106</v>
      </c>
      <c r="AR25" s="394">
        <f t="shared" si="10"/>
        <v>0</v>
      </c>
      <c r="AS25" s="395">
        <f t="shared" si="11"/>
        <v>0</v>
      </c>
      <c r="AT25" s="396">
        <f t="shared" si="12"/>
        <v>0</v>
      </c>
      <c r="AU25" s="394">
        <f t="shared" si="13"/>
        <v>0</v>
      </c>
      <c r="AV25" s="395">
        <f t="shared" si="14"/>
        <v>0</v>
      </c>
      <c r="AW25" s="396">
        <f t="shared" si="15"/>
        <v>0</v>
      </c>
      <c r="AX25" s="394">
        <f t="shared" si="16"/>
        <v>0</v>
      </c>
      <c r="AY25" s="395">
        <f t="shared" si="17"/>
        <v>0</v>
      </c>
      <c r="AZ25" s="396">
        <f t="shared" si="18"/>
        <v>0</v>
      </c>
      <c r="BA25" s="394">
        <f t="shared" si="19"/>
        <v>0</v>
      </c>
      <c r="BB25" s="395">
        <f t="shared" si="0"/>
        <v>0</v>
      </c>
      <c r="BC25" s="396">
        <f t="shared" si="1"/>
        <v>0</v>
      </c>
      <c r="BD25" s="394">
        <f t="shared" si="2"/>
        <v>0</v>
      </c>
      <c r="BE25" s="395">
        <f t="shared" si="3"/>
        <v>0</v>
      </c>
      <c r="BF25" s="396">
        <f t="shared" si="4"/>
        <v>0</v>
      </c>
      <c r="BG25" s="394">
        <f t="shared" si="5"/>
        <v>0</v>
      </c>
      <c r="BH25" s="395">
        <f t="shared" si="6"/>
        <v>0</v>
      </c>
      <c r="BI25" s="396">
        <f t="shared" si="7"/>
        <v>0</v>
      </c>
    </row>
    <row r="26" spans="1:61" ht="14.25">
      <c r="A26" s="159">
        <v>260</v>
      </c>
      <c r="B26" s="150" t="s">
        <v>100</v>
      </c>
      <c r="C26" s="160">
        <v>100</v>
      </c>
      <c r="D26" s="161">
        <v>100</v>
      </c>
      <c r="E26" s="162">
        <v>4200</v>
      </c>
      <c r="F26" s="174">
        <v>106.32</v>
      </c>
      <c r="G26" s="161">
        <v>106.32</v>
      </c>
      <c r="H26" s="162">
        <v>4465.4399999999996</v>
      </c>
      <c r="I26" s="161">
        <v>112.16759999999999</v>
      </c>
      <c r="J26" s="161">
        <v>112.16759999999999</v>
      </c>
      <c r="K26" s="162">
        <v>4711.0391999999993</v>
      </c>
      <c r="L26" s="161">
        <v>117.77598</v>
      </c>
      <c r="M26" s="161">
        <v>117.77598</v>
      </c>
      <c r="N26" s="162">
        <v>4946.5911599999999</v>
      </c>
      <c r="O26" s="161">
        <v>123.0758991</v>
      </c>
      <c r="P26" s="161">
        <v>123.0758991</v>
      </c>
      <c r="Q26" s="162">
        <v>5169.1877622000002</v>
      </c>
      <c r="R26" s="161">
        <v>123.0758991</v>
      </c>
      <c r="S26" s="161">
        <v>123.0758991</v>
      </c>
      <c r="T26" s="162">
        <v>5169.1877622000002</v>
      </c>
      <c r="U26" s="161">
        <v>127.99893506400001</v>
      </c>
      <c r="V26" s="161">
        <v>127.99893506400001</v>
      </c>
      <c r="W26" s="162">
        <v>5375.9552726880002</v>
      </c>
      <c r="X26" s="161">
        <v>133.11889246656003</v>
      </c>
      <c r="Y26" s="161">
        <v>133.11889246656003</v>
      </c>
      <c r="Z26" s="162">
        <v>5590.993483595521</v>
      </c>
      <c r="AA26" s="161">
        <v>139.78008708988804</v>
      </c>
      <c r="AB26" s="161">
        <v>139.78008708988804</v>
      </c>
      <c r="AC26" s="162">
        <v>5870.7636577752974</v>
      </c>
      <c r="AD26" s="161">
        <v>143.97</v>
      </c>
      <c r="AE26" s="165">
        <v>143.97</v>
      </c>
      <c r="AF26" s="162">
        <f t="shared" si="20"/>
        <v>6046.74</v>
      </c>
      <c r="AG26" s="161">
        <f t="shared" si="8"/>
        <v>148.28909999999999</v>
      </c>
      <c r="AH26" s="165">
        <f t="shared" si="8"/>
        <v>148.28909999999999</v>
      </c>
      <c r="AI26" s="162">
        <f t="shared" si="21"/>
        <v>6228.1421999999993</v>
      </c>
      <c r="AJ26" s="161">
        <f t="shared" si="23"/>
        <v>152.737773</v>
      </c>
      <c r="AK26" s="165">
        <f t="shared" si="23"/>
        <v>152.737773</v>
      </c>
      <c r="AL26" s="162">
        <f t="shared" si="22"/>
        <v>6414.9864660000003</v>
      </c>
      <c r="AM26" s="373" t="s">
        <v>97</v>
      </c>
      <c r="AN26" s="391">
        <v>81.211470640000002</v>
      </c>
      <c r="AO26" s="392">
        <v>81.211470640000002</v>
      </c>
      <c r="AP26" s="393">
        <v>3410.8817668800002</v>
      </c>
      <c r="AQ26" s="373" t="s">
        <v>97</v>
      </c>
      <c r="AR26" s="391">
        <f t="shared" si="10"/>
        <v>83.647814759200003</v>
      </c>
      <c r="AS26" s="392">
        <f t="shared" si="11"/>
        <v>83.647814759200003</v>
      </c>
      <c r="AT26" s="393">
        <f t="shared" si="12"/>
        <v>3513.2082198864005</v>
      </c>
      <c r="AU26" s="391">
        <f t="shared" si="13"/>
        <v>86.157249201976001</v>
      </c>
      <c r="AV26" s="392">
        <f t="shared" si="14"/>
        <v>86.157249201976001</v>
      </c>
      <c r="AW26" s="393">
        <f t="shared" si="15"/>
        <v>3618.6044664829924</v>
      </c>
      <c r="AX26" s="391">
        <f t="shared" si="16"/>
        <v>88.741966678035283</v>
      </c>
      <c r="AY26" s="392">
        <f t="shared" si="17"/>
        <v>88.741966678035283</v>
      </c>
      <c r="AZ26" s="393">
        <f t="shared" si="18"/>
        <v>3727.1626004774821</v>
      </c>
      <c r="BA26" s="391">
        <f t="shared" si="19"/>
        <v>91.404225678376349</v>
      </c>
      <c r="BB26" s="392">
        <f t="shared" si="0"/>
        <v>91.404225678376349</v>
      </c>
      <c r="BC26" s="393">
        <f t="shared" si="1"/>
        <v>3838.9774784918068</v>
      </c>
      <c r="BD26" s="391">
        <f t="shared" si="2"/>
        <v>94.14635244872764</v>
      </c>
      <c r="BE26" s="392">
        <f t="shared" si="3"/>
        <v>94.14635244872764</v>
      </c>
      <c r="BF26" s="393">
        <f t="shared" si="4"/>
        <v>3954.1468028465611</v>
      </c>
      <c r="BG26" s="391">
        <f t="shared" si="5"/>
        <v>96.970743022189467</v>
      </c>
      <c r="BH26" s="392">
        <f t="shared" si="6"/>
        <v>96.970743022189467</v>
      </c>
      <c r="BI26" s="393">
        <f t="shared" si="7"/>
        <v>4072.7712069319582</v>
      </c>
    </row>
    <row r="27" spans="1:61" ht="14.25">
      <c r="A27" s="166">
        <v>231</v>
      </c>
      <c r="B27" s="151" t="s">
        <v>102</v>
      </c>
      <c r="C27" s="167">
        <v>22.089552238805972</v>
      </c>
      <c r="D27" s="168">
        <v>122.09</v>
      </c>
      <c r="E27" s="169">
        <v>5127.78</v>
      </c>
      <c r="F27" s="167">
        <v>22.089552238805972</v>
      </c>
      <c r="G27" s="168">
        <v>128.40955223880596</v>
      </c>
      <c r="H27" s="169">
        <v>5393.2011940298498</v>
      </c>
      <c r="I27" s="167">
        <v>23.3044776119403</v>
      </c>
      <c r="J27" s="168">
        <v>135.47207761194028</v>
      </c>
      <c r="K27" s="169">
        <v>5689.827259701492</v>
      </c>
      <c r="L27" s="168">
        <v>24.469701492537315</v>
      </c>
      <c r="M27" s="168">
        <v>142.24568149253733</v>
      </c>
      <c r="N27" s="169">
        <v>5974.3186226865682</v>
      </c>
      <c r="O27" s="168">
        <v>25.570838059701494</v>
      </c>
      <c r="P27" s="168">
        <v>148.6467371597015</v>
      </c>
      <c r="Q27" s="169">
        <v>6243.1629607074628</v>
      </c>
      <c r="R27" s="168">
        <v>25.570838059701494</v>
      </c>
      <c r="S27" s="168">
        <v>148.6467371597015</v>
      </c>
      <c r="T27" s="169">
        <v>6243.1629607074628</v>
      </c>
      <c r="U27" s="168">
        <v>26.593671582089556</v>
      </c>
      <c r="V27" s="168">
        <v>154.59260664608956</v>
      </c>
      <c r="W27" s="169">
        <v>6492.8894791357616</v>
      </c>
      <c r="X27" s="168">
        <v>27.647418445373138</v>
      </c>
      <c r="Y27" s="168">
        <v>160.76631091193318</v>
      </c>
      <c r="Z27" s="169">
        <v>6752.1850583011937</v>
      </c>
      <c r="AA27" s="168">
        <v>29.029789367641797</v>
      </c>
      <c r="AB27" s="168">
        <v>168.80987645752984</v>
      </c>
      <c r="AC27" s="169">
        <v>7090.0148112162533</v>
      </c>
      <c r="AD27" s="168">
        <v>29.9</v>
      </c>
      <c r="AE27" s="165">
        <v>173.87</v>
      </c>
      <c r="AF27" s="169">
        <f t="shared" si="20"/>
        <v>7302.54</v>
      </c>
      <c r="AG27" s="168">
        <f t="shared" si="8"/>
        <v>30.797000000000001</v>
      </c>
      <c r="AH27" s="165">
        <f t="shared" si="8"/>
        <v>179.08610000000002</v>
      </c>
      <c r="AI27" s="169">
        <f t="shared" si="21"/>
        <v>7521.6162000000004</v>
      </c>
      <c r="AJ27" s="168">
        <f t="shared" si="23"/>
        <v>31.72091</v>
      </c>
      <c r="AK27" s="165">
        <f t="shared" si="23"/>
        <v>184.45868300000001</v>
      </c>
      <c r="AL27" s="169">
        <f t="shared" si="22"/>
        <v>7747.2646860000004</v>
      </c>
      <c r="AM27" s="373" t="s">
        <v>100</v>
      </c>
      <c r="AN27" s="391">
        <v>157.31990619000001</v>
      </c>
      <c r="AO27" s="392">
        <v>157.31990619000001</v>
      </c>
      <c r="AP27" s="393">
        <v>6607.4360599800002</v>
      </c>
      <c r="AQ27" s="373" t="s">
        <v>100</v>
      </c>
      <c r="AR27" s="391">
        <f t="shared" si="10"/>
        <v>162.03950337570001</v>
      </c>
      <c r="AS27" s="392">
        <f t="shared" si="11"/>
        <v>162.03950337570001</v>
      </c>
      <c r="AT27" s="393">
        <f t="shared" si="12"/>
        <v>6805.6591417794007</v>
      </c>
      <c r="AU27" s="391">
        <f t="shared" si="13"/>
        <v>166.900688476971</v>
      </c>
      <c r="AV27" s="392">
        <f t="shared" si="14"/>
        <v>166.900688476971</v>
      </c>
      <c r="AW27" s="393">
        <f t="shared" si="15"/>
        <v>7009.8289160327831</v>
      </c>
      <c r="AX27" s="391">
        <f t="shared" si="16"/>
        <v>171.90770913128014</v>
      </c>
      <c r="AY27" s="392">
        <f t="shared" si="17"/>
        <v>171.90770913128014</v>
      </c>
      <c r="AZ27" s="393">
        <f t="shared" si="18"/>
        <v>7220.1237835137672</v>
      </c>
      <c r="BA27" s="391">
        <f t="shared" si="19"/>
        <v>177.06494040521855</v>
      </c>
      <c r="BB27" s="392">
        <f t="shared" si="0"/>
        <v>177.06494040521855</v>
      </c>
      <c r="BC27" s="393">
        <f t="shared" si="1"/>
        <v>7436.7274970191802</v>
      </c>
      <c r="BD27" s="391">
        <f t="shared" si="2"/>
        <v>182.3768886173751</v>
      </c>
      <c r="BE27" s="392">
        <f t="shared" si="3"/>
        <v>182.3768886173751</v>
      </c>
      <c r="BF27" s="393">
        <f t="shared" si="4"/>
        <v>7659.8293219297557</v>
      </c>
      <c r="BG27" s="391">
        <f t="shared" si="5"/>
        <v>187.84819527589636</v>
      </c>
      <c r="BH27" s="392">
        <f t="shared" si="6"/>
        <v>187.84819527589636</v>
      </c>
      <c r="BI27" s="393">
        <f t="shared" si="7"/>
        <v>7889.6242015876487</v>
      </c>
    </row>
    <row r="28" spans="1:61" ht="14.25">
      <c r="A28" s="159">
        <v>221</v>
      </c>
      <c r="B28" s="150" t="s">
        <v>103</v>
      </c>
      <c r="C28" s="160">
        <v>40</v>
      </c>
      <c r="D28" s="161">
        <v>140</v>
      </c>
      <c r="E28" s="162">
        <v>5880</v>
      </c>
      <c r="F28" s="174">
        <v>40</v>
      </c>
      <c r="G28" s="161">
        <v>146.32</v>
      </c>
      <c r="H28" s="162">
        <v>6145.44</v>
      </c>
      <c r="I28" s="161">
        <v>42.2</v>
      </c>
      <c r="J28" s="161">
        <v>154.36759999999998</v>
      </c>
      <c r="K28" s="162">
        <v>6483.4391999999989</v>
      </c>
      <c r="L28" s="161">
        <v>44.31</v>
      </c>
      <c r="M28" s="161">
        <v>162.08598000000001</v>
      </c>
      <c r="N28" s="162">
        <v>6807.6111600000004</v>
      </c>
      <c r="O28" s="161">
        <v>46.30395</v>
      </c>
      <c r="P28" s="161">
        <v>169.3798491</v>
      </c>
      <c r="Q28" s="162">
        <v>7113.9536621999996</v>
      </c>
      <c r="R28" s="161">
        <v>46.30395</v>
      </c>
      <c r="S28" s="161">
        <v>169.3798491</v>
      </c>
      <c r="T28" s="162">
        <v>7113.9536621999996</v>
      </c>
      <c r="U28" s="161">
        <v>48.156108000000003</v>
      </c>
      <c r="V28" s="161">
        <v>176.15504306400001</v>
      </c>
      <c r="W28" s="162">
        <v>7398.5118086880002</v>
      </c>
      <c r="X28" s="161">
        <v>50.092352320000003</v>
      </c>
      <c r="Y28" s="161">
        <v>183.21124478656003</v>
      </c>
      <c r="Z28" s="162">
        <v>7694.8722810355212</v>
      </c>
      <c r="AA28" s="161">
        <v>52.58696993600001</v>
      </c>
      <c r="AB28" s="161">
        <v>192.36705702588804</v>
      </c>
      <c r="AC28" s="162">
        <v>8079.416395087298</v>
      </c>
      <c r="AD28" s="161">
        <v>54.17</v>
      </c>
      <c r="AE28" s="165">
        <v>198.14</v>
      </c>
      <c r="AF28" s="162">
        <f t="shared" si="20"/>
        <v>8321.8799999999992</v>
      </c>
      <c r="AG28" s="161">
        <f>AD28*(1+$AI$2)-0.01</f>
        <v>55.785100000000007</v>
      </c>
      <c r="AH28" s="165">
        <f t="shared" si="8"/>
        <v>204.08419999999998</v>
      </c>
      <c r="AI28" s="162">
        <f t="shared" si="21"/>
        <v>8571.536399999999</v>
      </c>
      <c r="AJ28" s="161">
        <f>AG28*(1+$AI$2)-0.01</f>
        <v>57.448653000000007</v>
      </c>
      <c r="AK28" s="165">
        <f>AH28*(1+$AI$2)-0.02</f>
        <v>210.18672599999996</v>
      </c>
      <c r="AL28" s="162">
        <f>AK28*42</f>
        <v>8827.8424919999979</v>
      </c>
      <c r="AM28" s="373" t="s">
        <v>102</v>
      </c>
      <c r="AN28" s="391">
        <v>32.672537300000002</v>
      </c>
      <c r="AO28" s="392">
        <v>189.99244349</v>
      </c>
      <c r="AP28" s="393">
        <v>7979.6826265800009</v>
      </c>
      <c r="AQ28" s="373" t="s">
        <v>102</v>
      </c>
      <c r="AR28" s="391">
        <f t="shared" si="10"/>
        <v>33.652713419000001</v>
      </c>
      <c r="AS28" s="392">
        <f t="shared" si="11"/>
        <v>195.69221679470002</v>
      </c>
      <c r="AT28" s="393">
        <f t="shared" si="12"/>
        <v>8219.0731053774016</v>
      </c>
      <c r="AU28" s="391">
        <f t="shared" si="13"/>
        <v>34.662294821570001</v>
      </c>
      <c r="AV28" s="392">
        <f t="shared" si="14"/>
        <v>201.56298329854101</v>
      </c>
      <c r="AW28" s="393">
        <f t="shared" si="15"/>
        <v>8465.6452985387241</v>
      </c>
      <c r="AX28" s="391">
        <f t="shared" si="16"/>
        <v>35.702163666217103</v>
      </c>
      <c r="AY28" s="392">
        <f t="shared" si="17"/>
        <v>207.60987279749725</v>
      </c>
      <c r="AZ28" s="393">
        <f t="shared" si="18"/>
        <v>8719.6146574948853</v>
      </c>
      <c r="BA28" s="391">
        <f t="shared" si="19"/>
        <v>36.773228576203614</v>
      </c>
      <c r="BB28" s="392">
        <f t="shared" si="0"/>
        <v>213.83816898142217</v>
      </c>
      <c r="BC28" s="393">
        <f t="shared" si="1"/>
        <v>8981.2030972197317</v>
      </c>
      <c r="BD28" s="391">
        <f t="shared" si="2"/>
        <v>37.876425433489722</v>
      </c>
      <c r="BE28" s="392">
        <f t="shared" si="3"/>
        <v>220.25331405086484</v>
      </c>
      <c r="BF28" s="393">
        <f t="shared" si="4"/>
        <v>9250.639190136324</v>
      </c>
      <c r="BG28" s="391">
        <f t="shared" si="5"/>
        <v>39.012718196494411</v>
      </c>
      <c r="BH28" s="392">
        <f t="shared" si="6"/>
        <v>226.86091347239079</v>
      </c>
      <c r="BI28" s="393">
        <f t="shared" si="7"/>
        <v>9528.1583658404143</v>
      </c>
    </row>
    <row r="29" spans="1:61" ht="14.25">
      <c r="A29" s="166">
        <v>243</v>
      </c>
      <c r="B29" s="151" t="s">
        <v>107</v>
      </c>
      <c r="C29" s="167">
        <v>8.1360946745562135</v>
      </c>
      <c r="D29" s="168">
        <v>148.13999999999999</v>
      </c>
      <c r="E29" s="169">
        <v>6221.8799999999992</v>
      </c>
      <c r="F29" s="167">
        <v>16.272189349112427</v>
      </c>
      <c r="G29" s="168">
        <v>162.5921893491124</v>
      </c>
      <c r="H29" s="169">
        <v>6828.871952662721</v>
      </c>
      <c r="I29" s="167">
        <v>17.168639053254438</v>
      </c>
      <c r="J29" s="168">
        <v>171.53623905325441</v>
      </c>
      <c r="K29" s="169">
        <v>7204.5220402366849</v>
      </c>
      <c r="L29" s="167">
        <v>18.027071005917161</v>
      </c>
      <c r="M29" s="168">
        <v>180.11305100591716</v>
      </c>
      <c r="N29" s="169">
        <v>7564.7481422485207</v>
      </c>
      <c r="O29" s="167">
        <v>18.838289201183432</v>
      </c>
      <c r="P29" s="168">
        <v>188.21813830118344</v>
      </c>
      <c r="Q29" s="169">
        <v>7905.1618086497047</v>
      </c>
      <c r="R29" s="167">
        <v>18.838289201183432</v>
      </c>
      <c r="S29" s="168">
        <v>188.21813830118344</v>
      </c>
      <c r="T29" s="169">
        <v>7905.1618086497047</v>
      </c>
      <c r="U29" s="167">
        <v>19.591820769230772</v>
      </c>
      <c r="V29" s="168">
        <v>195.74686383323078</v>
      </c>
      <c r="W29" s="169">
        <v>8221.3682809956917</v>
      </c>
      <c r="X29" s="168">
        <v>20.365493600000001</v>
      </c>
      <c r="Y29" s="168">
        <v>203.57673838656004</v>
      </c>
      <c r="Z29" s="169">
        <v>8550.2230122355213</v>
      </c>
      <c r="AA29" s="168">
        <v>21.393768280000003</v>
      </c>
      <c r="AB29" s="168">
        <v>213.76082530588803</v>
      </c>
      <c r="AC29" s="169">
        <v>8977.9546628472981</v>
      </c>
      <c r="AD29" s="168">
        <v>22.03</v>
      </c>
      <c r="AE29" s="165">
        <v>220.17</v>
      </c>
      <c r="AF29" s="169">
        <f t="shared" si="20"/>
        <v>9247.14</v>
      </c>
      <c r="AG29" s="168">
        <f>AD29*(1+$AI$2)+0.01</f>
        <v>22.700900000000004</v>
      </c>
      <c r="AH29" s="165">
        <f t="shared" si="8"/>
        <v>226.77509999999998</v>
      </c>
      <c r="AI29" s="169">
        <f t="shared" si="21"/>
        <v>9524.5541999999987</v>
      </c>
      <c r="AJ29" s="168">
        <f>AG29*(1+$AI$2)+0.01</f>
        <v>23.391927000000006</v>
      </c>
      <c r="AK29" s="165">
        <f t="shared" si="23"/>
        <v>233.57835299999999</v>
      </c>
      <c r="AL29" s="169">
        <f t="shared" si="22"/>
        <v>9810.2908260000004</v>
      </c>
      <c r="AM29" s="373" t="s">
        <v>103</v>
      </c>
      <c r="AN29" s="391">
        <v>59.172112590000012</v>
      </c>
      <c r="AO29" s="392">
        <v>216.49232777999998</v>
      </c>
      <c r="AP29" s="393">
        <v>9092.6777667599981</v>
      </c>
      <c r="AQ29" s="373" t="s">
        <v>103</v>
      </c>
      <c r="AR29" s="391">
        <f t="shared" si="10"/>
        <v>60.947275967700016</v>
      </c>
      <c r="AS29" s="392">
        <f t="shared" si="11"/>
        <v>222.98709761339998</v>
      </c>
      <c r="AT29" s="393">
        <f t="shared" si="12"/>
        <v>9365.4580997627982</v>
      </c>
      <c r="AU29" s="391">
        <f t="shared" si="13"/>
        <v>62.775694246731021</v>
      </c>
      <c r="AV29" s="392">
        <f t="shared" si="14"/>
        <v>229.67671054180198</v>
      </c>
      <c r="AW29" s="393">
        <f t="shared" si="15"/>
        <v>9646.4218427556825</v>
      </c>
      <c r="AX29" s="391">
        <f t="shared" si="16"/>
        <v>64.658965074132951</v>
      </c>
      <c r="AY29" s="392">
        <f t="shared" si="17"/>
        <v>236.56701185805605</v>
      </c>
      <c r="AZ29" s="393">
        <f t="shared" si="18"/>
        <v>9935.8144980383531</v>
      </c>
      <c r="BA29" s="391">
        <f t="shared" si="19"/>
        <v>66.598734026356937</v>
      </c>
      <c r="BB29" s="392">
        <f t="shared" si="0"/>
        <v>243.66402221379775</v>
      </c>
      <c r="BC29" s="393">
        <f t="shared" si="1"/>
        <v>10233.888932979504</v>
      </c>
      <c r="BD29" s="391">
        <f t="shared" si="2"/>
        <v>68.596696047147645</v>
      </c>
      <c r="BE29" s="392">
        <f t="shared" si="3"/>
        <v>250.97394288021169</v>
      </c>
      <c r="BF29" s="393">
        <f t="shared" si="4"/>
        <v>10540.905600968888</v>
      </c>
      <c r="BG29" s="391">
        <f t="shared" si="5"/>
        <v>70.654596928562071</v>
      </c>
      <c r="BH29" s="392">
        <f t="shared" si="6"/>
        <v>258.50316116661804</v>
      </c>
      <c r="BI29" s="393">
        <f t="shared" si="7"/>
        <v>10857.132768997955</v>
      </c>
    </row>
    <row r="30" spans="1:61" ht="14.25">
      <c r="A30" s="159">
        <v>258</v>
      </c>
      <c r="B30" s="150" t="s">
        <v>108</v>
      </c>
      <c r="C30" s="160">
        <v>27.5</v>
      </c>
      <c r="D30" s="161">
        <v>167.5</v>
      </c>
      <c r="E30" s="162">
        <v>7035</v>
      </c>
      <c r="F30" s="174">
        <v>55</v>
      </c>
      <c r="G30" s="161">
        <v>201.32</v>
      </c>
      <c r="H30" s="162">
        <v>8455.44</v>
      </c>
      <c r="I30" s="161">
        <v>58.024999999999999</v>
      </c>
      <c r="J30" s="161">
        <v>212.40259999999998</v>
      </c>
      <c r="K30" s="162">
        <v>8920.9091999999982</v>
      </c>
      <c r="L30" s="161">
        <v>60.926250000000003</v>
      </c>
      <c r="M30" s="161">
        <v>223.02223000000001</v>
      </c>
      <c r="N30" s="162">
        <v>9366.9336600000006</v>
      </c>
      <c r="O30" s="161">
        <v>63.667931250000002</v>
      </c>
      <c r="P30" s="161">
        <v>233.04778035000001</v>
      </c>
      <c r="Q30" s="162">
        <v>9788.0067747000012</v>
      </c>
      <c r="R30" s="161">
        <v>63.667931250000002</v>
      </c>
      <c r="S30" s="161">
        <v>233.04778035000001</v>
      </c>
      <c r="T30" s="162">
        <v>9788.0067747000012</v>
      </c>
      <c r="U30" s="161">
        <v>66.21464850000001</v>
      </c>
      <c r="V30" s="161">
        <v>242.36969156400002</v>
      </c>
      <c r="W30" s="162">
        <v>10179.527045688001</v>
      </c>
      <c r="X30" s="161">
        <v>68.853234440000008</v>
      </c>
      <c r="Y30" s="161">
        <v>252.06447922656002</v>
      </c>
      <c r="Z30" s="162">
        <v>10586.708127515521</v>
      </c>
      <c r="AA30" s="161">
        <v>72.30589616200001</v>
      </c>
      <c r="AB30" s="161">
        <v>264.67295318788808</v>
      </c>
      <c r="AC30" s="162">
        <v>11116.264033891299</v>
      </c>
      <c r="AD30" s="161">
        <v>74.48</v>
      </c>
      <c r="AE30" s="165">
        <v>272.62</v>
      </c>
      <c r="AF30" s="162">
        <f t="shared" si="20"/>
        <v>11450.04</v>
      </c>
      <c r="AG30" s="161">
        <f>AD30*(1+$AI$2)+0.01</f>
        <v>76.724400000000017</v>
      </c>
      <c r="AH30" s="165">
        <f t="shared" si="8"/>
        <v>280.79860000000002</v>
      </c>
      <c r="AI30" s="162">
        <f t="shared" si="21"/>
        <v>11793.541200000001</v>
      </c>
      <c r="AJ30" s="161">
        <f t="shared" ref="AJ30:AJ35" si="24">AG30*(1+$AI$2)</f>
        <v>79.026132000000018</v>
      </c>
      <c r="AK30" s="165">
        <f>AH30*(1+$AI$2)-0.01</f>
        <v>289.21255800000006</v>
      </c>
      <c r="AL30" s="162">
        <f t="shared" si="22"/>
        <v>12146.927436000002</v>
      </c>
      <c r="AM30" s="373" t="s">
        <v>107</v>
      </c>
      <c r="AN30" s="391">
        <v>24.093684810000006</v>
      </c>
      <c r="AO30" s="392">
        <v>240.58570359000001</v>
      </c>
      <c r="AP30" s="393">
        <v>10104.59955078</v>
      </c>
      <c r="AQ30" s="373" t="s">
        <v>107</v>
      </c>
      <c r="AR30" s="391">
        <f t="shared" si="10"/>
        <v>24.816495354300006</v>
      </c>
      <c r="AS30" s="392">
        <f t="shared" si="11"/>
        <v>247.8032746977</v>
      </c>
      <c r="AT30" s="393">
        <f t="shared" si="12"/>
        <v>10407.737537303399</v>
      </c>
      <c r="AU30" s="391">
        <f t="shared" si="13"/>
        <v>25.560990214929006</v>
      </c>
      <c r="AV30" s="392">
        <f t="shared" si="14"/>
        <v>255.23737293863101</v>
      </c>
      <c r="AW30" s="393">
        <f t="shared" si="15"/>
        <v>10719.969663422502</v>
      </c>
      <c r="AX30" s="391">
        <f t="shared" si="16"/>
        <v>26.327819921376879</v>
      </c>
      <c r="AY30" s="392">
        <f t="shared" si="17"/>
        <v>262.89449412678994</v>
      </c>
      <c r="AZ30" s="393">
        <f t="shared" si="18"/>
        <v>11041.568753325177</v>
      </c>
      <c r="BA30" s="391">
        <f t="shared" si="19"/>
        <v>27.117654519018185</v>
      </c>
      <c r="BB30" s="392">
        <f t="shared" si="0"/>
        <v>270.78132895059366</v>
      </c>
      <c r="BC30" s="393">
        <f t="shared" si="1"/>
        <v>11372.815815924932</v>
      </c>
      <c r="BD30" s="391">
        <f t="shared" si="2"/>
        <v>27.931184154588731</v>
      </c>
      <c r="BE30" s="392">
        <f t="shared" si="3"/>
        <v>278.9047688191115</v>
      </c>
      <c r="BF30" s="393">
        <f t="shared" si="4"/>
        <v>11714.000290402681</v>
      </c>
      <c r="BG30" s="391">
        <f t="shared" si="5"/>
        <v>28.769119679226392</v>
      </c>
      <c r="BH30" s="392">
        <f t="shared" si="6"/>
        <v>287.27191188368482</v>
      </c>
      <c r="BI30" s="393">
        <f t="shared" si="7"/>
        <v>12065.420299114761</v>
      </c>
    </row>
    <row r="31" spans="1:61" ht="15" thickBot="1">
      <c r="A31" s="206">
        <v>259</v>
      </c>
      <c r="B31" s="226" t="s">
        <v>109</v>
      </c>
      <c r="C31" s="208">
        <v>26</v>
      </c>
      <c r="D31" s="161">
        <v>193.5</v>
      </c>
      <c r="E31" s="162">
        <v>8127</v>
      </c>
      <c r="F31" s="174">
        <v>52</v>
      </c>
      <c r="G31" s="209">
        <v>253.32</v>
      </c>
      <c r="H31" s="210">
        <v>10639.44</v>
      </c>
      <c r="I31" s="216">
        <v>54.86</v>
      </c>
      <c r="J31" s="209">
        <v>267.26259999999996</v>
      </c>
      <c r="K31" s="210">
        <v>11225.029199999999</v>
      </c>
      <c r="L31" s="216">
        <v>57.603000000000002</v>
      </c>
      <c r="M31" s="209">
        <v>280.62423000000001</v>
      </c>
      <c r="N31" s="210">
        <v>11786.21766</v>
      </c>
      <c r="O31" s="216">
        <v>60.195135000000001</v>
      </c>
      <c r="P31" s="209">
        <v>293.25291535000002</v>
      </c>
      <c r="Q31" s="210">
        <v>12316.6224447</v>
      </c>
      <c r="R31" s="216">
        <v>60.195135000000001</v>
      </c>
      <c r="S31" s="209">
        <v>293.25291535000002</v>
      </c>
      <c r="T31" s="210">
        <v>12316.6224447</v>
      </c>
      <c r="U31" s="216">
        <v>62.602940400000001</v>
      </c>
      <c r="V31" s="209">
        <v>304.98263196400001</v>
      </c>
      <c r="W31" s="210">
        <v>12809.270542488001</v>
      </c>
      <c r="X31" s="209">
        <v>65.097058016000005</v>
      </c>
      <c r="Y31" s="209">
        <v>317.17153724256002</v>
      </c>
      <c r="Z31" s="210">
        <v>13321.204564187521</v>
      </c>
      <c r="AA31" s="209">
        <v>68.361910916800014</v>
      </c>
      <c r="AB31" s="209">
        <v>333.0348641046881</v>
      </c>
      <c r="AC31" s="210">
        <v>13987.4642923969</v>
      </c>
      <c r="AD31" s="209">
        <v>70.41</v>
      </c>
      <c r="AE31" s="212">
        <v>343.03</v>
      </c>
      <c r="AF31" s="210">
        <f t="shared" si="20"/>
        <v>14407.259999999998</v>
      </c>
      <c r="AG31" s="209">
        <f t="shared" si="8"/>
        <v>72.522300000000001</v>
      </c>
      <c r="AH31" s="212">
        <f t="shared" si="8"/>
        <v>353.32089999999999</v>
      </c>
      <c r="AI31" s="210">
        <f t="shared" si="21"/>
        <v>14839.477800000001</v>
      </c>
      <c r="AJ31" s="209">
        <f t="shared" si="24"/>
        <v>74.697969000000001</v>
      </c>
      <c r="AK31" s="212">
        <f>AH31*(1+$AI$2)-0.01</f>
        <v>363.910527</v>
      </c>
      <c r="AL31" s="210">
        <f t="shared" si="22"/>
        <v>15284.242134</v>
      </c>
      <c r="AM31" s="373" t="s">
        <v>108</v>
      </c>
      <c r="AN31" s="391">
        <v>81.396915960000015</v>
      </c>
      <c r="AO31" s="392">
        <v>297.88893474000008</v>
      </c>
      <c r="AP31" s="393">
        <v>12511.335259080002</v>
      </c>
      <c r="AQ31" s="373" t="s">
        <v>108</v>
      </c>
      <c r="AR31" s="391">
        <f t="shared" si="10"/>
        <v>83.83882343880002</v>
      </c>
      <c r="AS31" s="392">
        <f t="shared" si="11"/>
        <v>306.82560278220006</v>
      </c>
      <c r="AT31" s="393">
        <f t="shared" si="12"/>
        <v>12886.675316852403</v>
      </c>
      <c r="AU31" s="391">
        <f t="shared" si="13"/>
        <v>86.353988141964024</v>
      </c>
      <c r="AV31" s="392">
        <f t="shared" si="14"/>
        <v>316.0303708656661</v>
      </c>
      <c r="AW31" s="393">
        <f t="shared" si="15"/>
        <v>13273.275576357975</v>
      </c>
      <c r="AX31" s="391">
        <f t="shared" si="16"/>
        <v>88.944607786222946</v>
      </c>
      <c r="AY31" s="392">
        <f t="shared" si="17"/>
        <v>325.51128199163611</v>
      </c>
      <c r="AZ31" s="393">
        <f t="shared" si="18"/>
        <v>13671.473843648715</v>
      </c>
      <c r="BA31" s="391">
        <f t="shared" si="19"/>
        <v>91.612946019809641</v>
      </c>
      <c r="BB31" s="392">
        <f t="shared" si="0"/>
        <v>335.27662045138521</v>
      </c>
      <c r="BC31" s="393">
        <f t="shared" si="1"/>
        <v>14081.618058958176</v>
      </c>
      <c r="BD31" s="391">
        <f t="shared" si="2"/>
        <v>94.361334400403933</v>
      </c>
      <c r="BE31" s="392">
        <f t="shared" si="3"/>
        <v>345.33491906492679</v>
      </c>
      <c r="BF31" s="393">
        <f t="shared" si="4"/>
        <v>14504.066600726923</v>
      </c>
      <c r="BG31" s="391">
        <f t="shared" si="5"/>
        <v>97.192174432416053</v>
      </c>
      <c r="BH31" s="392">
        <f t="shared" si="6"/>
        <v>355.6949666368746</v>
      </c>
      <c r="BI31" s="393">
        <f t="shared" si="7"/>
        <v>14939.188598748731</v>
      </c>
    </row>
    <row r="32" spans="1:61" ht="15" thickBot="1">
      <c r="A32" s="152">
        <v>210</v>
      </c>
      <c r="B32" s="149" t="s">
        <v>97</v>
      </c>
      <c r="C32" s="170">
        <v>15</v>
      </c>
      <c r="D32" s="154">
        <v>15</v>
      </c>
      <c r="E32" s="154">
        <v>630</v>
      </c>
      <c r="F32" s="156">
        <v>35.32</v>
      </c>
      <c r="G32" s="154">
        <v>35.32</v>
      </c>
      <c r="H32" s="155">
        <v>1483.44</v>
      </c>
      <c r="I32" s="157">
        <v>37.262599999999999</v>
      </c>
      <c r="J32" s="154">
        <v>37.262599999999999</v>
      </c>
      <c r="K32" s="155">
        <v>1565.0291999999999</v>
      </c>
      <c r="L32" s="157">
        <v>39.125729999999997</v>
      </c>
      <c r="M32" s="154">
        <v>39.125729999999997</v>
      </c>
      <c r="N32" s="155">
        <v>1643.2806599999999</v>
      </c>
      <c r="O32" s="157">
        <v>40.886387849999991</v>
      </c>
      <c r="P32" s="154">
        <v>40.886387849999991</v>
      </c>
      <c r="Q32" s="155">
        <v>1717.2282896999996</v>
      </c>
      <c r="R32" s="157">
        <v>63.55</v>
      </c>
      <c r="S32" s="154">
        <v>63.55</v>
      </c>
      <c r="T32" s="155">
        <v>2669.1</v>
      </c>
      <c r="U32" s="157">
        <v>66.091999999999999</v>
      </c>
      <c r="V32" s="154">
        <v>66.091999999999999</v>
      </c>
      <c r="W32" s="155">
        <v>2775.864</v>
      </c>
      <c r="X32" s="154">
        <v>68.725679999999997</v>
      </c>
      <c r="Y32" s="154">
        <v>68.725679999999997</v>
      </c>
      <c r="Z32" s="155">
        <v>2886.47856</v>
      </c>
      <c r="AA32" s="154">
        <v>72.161963999999998</v>
      </c>
      <c r="AB32" s="154">
        <v>72.161963999999998</v>
      </c>
      <c r="AC32" s="155">
        <v>3030.8024879999998</v>
      </c>
      <c r="AD32" s="154">
        <v>74.319999999999993</v>
      </c>
      <c r="AE32" s="158">
        <v>74.319999999999993</v>
      </c>
      <c r="AF32" s="155">
        <f t="shared" si="20"/>
        <v>3121.4399999999996</v>
      </c>
      <c r="AG32" s="154">
        <f t="shared" si="8"/>
        <v>76.549599999999998</v>
      </c>
      <c r="AH32" s="158">
        <f t="shared" si="8"/>
        <v>76.549599999999998</v>
      </c>
      <c r="AI32" s="155">
        <f t="shared" si="21"/>
        <v>3215.0832</v>
      </c>
      <c r="AJ32" s="154">
        <f t="shared" si="24"/>
        <v>78.846087999999995</v>
      </c>
      <c r="AK32" s="158">
        <f t="shared" si="23"/>
        <v>78.846087999999995</v>
      </c>
      <c r="AL32" s="155">
        <f t="shared" si="22"/>
        <v>3311.5356959999999</v>
      </c>
      <c r="AM32" s="372" t="s">
        <v>109</v>
      </c>
      <c r="AN32" s="394">
        <v>76.938908069999997</v>
      </c>
      <c r="AO32" s="395">
        <v>374.82784280999999</v>
      </c>
      <c r="AP32" s="396">
        <v>15742.76939802</v>
      </c>
      <c r="AQ32" s="372" t="s">
        <v>109</v>
      </c>
      <c r="AR32" s="394">
        <f t="shared" si="10"/>
        <v>79.247075312099994</v>
      </c>
      <c r="AS32" s="395">
        <f t="shared" si="11"/>
        <v>386.07267809429999</v>
      </c>
      <c r="AT32" s="396">
        <f t="shared" si="12"/>
        <v>16215.052479960601</v>
      </c>
      <c r="AU32" s="394">
        <f t="shared" si="13"/>
        <v>81.624487571462993</v>
      </c>
      <c r="AV32" s="395">
        <f t="shared" si="14"/>
        <v>397.65485843712901</v>
      </c>
      <c r="AW32" s="396">
        <f t="shared" si="15"/>
        <v>16701.504054359419</v>
      </c>
      <c r="AX32" s="394">
        <f t="shared" si="16"/>
        <v>84.073222198606885</v>
      </c>
      <c r="AY32" s="395">
        <f t="shared" si="17"/>
        <v>409.58450419024291</v>
      </c>
      <c r="AZ32" s="396">
        <f t="shared" si="18"/>
        <v>17202.549175990203</v>
      </c>
      <c r="BA32" s="394">
        <f t="shared" si="19"/>
        <v>86.59541886456509</v>
      </c>
      <c r="BB32" s="395">
        <f t="shared" si="0"/>
        <v>421.87203931595019</v>
      </c>
      <c r="BC32" s="396">
        <f t="shared" si="1"/>
        <v>17718.625651269911</v>
      </c>
      <c r="BD32" s="394">
        <f t="shared" si="2"/>
        <v>89.19328143050204</v>
      </c>
      <c r="BE32" s="395">
        <f t="shared" si="3"/>
        <v>434.52820049542873</v>
      </c>
      <c r="BF32" s="396">
        <f t="shared" si="4"/>
        <v>18250.184420808007</v>
      </c>
      <c r="BG32" s="394">
        <f t="shared" si="5"/>
        <v>91.869079873417107</v>
      </c>
      <c r="BH32" s="395">
        <f t="shared" si="6"/>
        <v>447.56404651029163</v>
      </c>
      <c r="BI32" s="396">
        <f t="shared" si="7"/>
        <v>18797.689953432247</v>
      </c>
    </row>
    <row r="33" spans="1:61" ht="14.25">
      <c r="A33" s="159">
        <v>260</v>
      </c>
      <c r="B33" s="150" t="s">
        <v>100</v>
      </c>
      <c r="C33" s="170">
        <v>100</v>
      </c>
      <c r="D33" s="161">
        <v>100</v>
      </c>
      <c r="E33" s="161">
        <v>4200</v>
      </c>
      <c r="F33" s="163">
        <v>106.32</v>
      </c>
      <c r="G33" s="161">
        <v>106.32</v>
      </c>
      <c r="H33" s="162">
        <v>4465.4399999999996</v>
      </c>
      <c r="I33" s="164">
        <v>112.16759999999999</v>
      </c>
      <c r="J33" s="161">
        <v>112.16759999999999</v>
      </c>
      <c r="K33" s="162">
        <v>4711.0391999999993</v>
      </c>
      <c r="L33" s="164">
        <v>117.77598</v>
      </c>
      <c r="M33" s="161">
        <v>117.77598</v>
      </c>
      <c r="N33" s="162">
        <v>4946.5911599999999</v>
      </c>
      <c r="O33" s="164">
        <v>123.0758991</v>
      </c>
      <c r="P33" s="161">
        <v>123.0758991</v>
      </c>
      <c r="Q33" s="162">
        <v>5169.1877622000002</v>
      </c>
      <c r="R33" s="164">
        <v>123.0758991</v>
      </c>
      <c r="S33" s="161">
        <v>123.0758991</v>
      </c>
      <c r="T33" s="162">
        <v>5169.1877622000002</v>
      </c>
      <c r="U33" s="164">
        <v>127.99893506400001</v>
      </c>
      <c r="V33" s="161">
        <v>127.99893506400001</v>
      </c>
      <c r="W33" s="162">
        <v>5375.9552726880002</v>
      </c>
      <c r="X33" s="161">
        <v>133.11889246656003</v>
      </c>
      <c r="Y33" s="161">
        <v>133.11889246656003</v>
      </c>
      <c r="Z33" s="162">
        <v>5590.993483595521</v>
      </c>
      <c r="AA33" s="161">
        <v>139.78008708988804</v>
      </c>
      <c r="AB33" s="161">
        <v>139.78008708988804</v>
      </c>
      <c r="AC33" s="162">
        <v>5870.7636577752974</v>
      </c>
      <c r="AD33" s="161">
        <v>143.97</v>
      </c>
      <c r="AE33" s="165">
        <v>143.97</v>
      </c>
      <c r="AF33" s="162">
        <f t="shared" si="20"/>
        <v>6046.74</v>
      </c>
      <c r="AG33" s="161">
        <f t="shared" si="8"/>
        <v>148.28909999999999</v>
      </c>
      <c r="AH33" s="165">
        <f t="shared" si="8"/>
        <v>148.28909999999999</v>
      </c>
      <c r="AI33" s="162">
        <f t="shared" si="21"/>
        <v>6228.1421999999993</v>
      </c>
      <c r="AJ33" s="161">
        <f t="shared" si="24"/>
        <v>152.737773</v>
      </c>
      <c r="AK33" s="165">
        <f t="shared" si="23"/>
        <v>152.737773</v>
      </c>
      <c r="AL33" s="162">
        <f t="shared" si="22"/>
        <v>6414.9864660000003</v>
      </c>
      <c r="AM33" s="376" t="s">
        <v>97</v>
      </c>
      <c r="AN33" s="388">
        <v>81.211470640000002</v>
      </c>
      <c r="AO33" s="389">
        <v>81.211470640000002</v>
      </c>
      <c r="AP33" s="390">
        <v>3410.8817668800002</v>
      </c>
      <c r="AQ33" s="376" t="s">
        <v>97</v>
      </c>
      <c r="AR33" s="388">
        <f t="shared" si="10"/>
        <v>83.647814759200003</v>
      </c>
      <c r="AS33" s="389">
        <f t="shared" si="11"/>
        <v>83.647814759200003</v>
      </c>
      <c r="AT33" s="390">
        <f t="shared" si="12"/>
        <v>3513.2082198864005</v>
      </c>
      <c r="AU33" s="388">
        <f t="shared" si="13"/>
        <v>86.157249201976001</v>
      </c>
      <c r="AV33" s="389">
        <f t="shared" si="14"/>
        <v>86.157249201976001</v>
      </c>
      <c r="AW33" s="390">
        <f t="shared" si="15"/>
        <v>3618.6044664829924</v>
      </c>
      <c r="AX33" s="388">
        <f t="shared" si="16"/>
        <v>88.741966678035283</v>
      </c>
      <c r="AY33" s="389">
        <f t="shared" si="17"/>
        <v>88.741966678035283</v>
      </c>
      <c r="AZ33" s="390">
        <f t="shared" si="18"/>
        <v>3727.1626004774821</v>
      </c>
      <c r="BA33" s="388">
        <f t="shared" si="19"/>
        <v>91.404225678376349</v>
      </c>
      <c r="BB33" s="389">
        <f t="shared" si="0"/>
        <v>91.404225678376349</v>
      </c>
      <c r="BC33" s="390">
        <f t="shared" si="1"/>
        <v>3838.9774784918068</v>
      </c>
      <c r="BD33" s="388">
        <f t="shared" si="2"/>
        <v>94.14635244872764</v>
      </c>
      <c r="BE33" s="389">
        <f t="shared" si="3"/>
        <v>94.14635244872764</v>
      </c>
      <c r="BF33" s="390">
        <f t="shared" si="4"/>
        <v>3954.1468028465611</v>
      </c>
      <c r="BG33" s="388">
        <f t="shared" si="5"/>
        <v>96.970743022189467</v>
      </c>
      <c r="BH33" s="389">
        <f t="shared" si="6"/>
        <v>96.970743022189467</v>
      </c>
      <c r="BI33" s="390">
        <f t="shared" si="7"/>
        <v>4072.7712069319582</v>
      </c>
    </row>
    <row r="34" spans="1:61" ht="14.25">
      <c r="A34" s="166">
        <v>263</v>
      </c>
      <c r="B34" s="151" t="s">
        <v>110</v>
      </c>
      <c r="C34" s="168">
        <v>5.5762711864406782</v>
      </c>
      <c r="D34" s="168">
        <v>201.58</v>
      </c>
      <c r="E34" s="168">
        <v>8466.36</v>
      </c>
      <c r="F34" s="167">
        <v>11.152542372881356</v>
      </c>
      <c r="G34" s="168">
        <v>213.47254237288135</v>
      </c>
      <c r="H34" s="169">
        <v>8965.8467796610166</v>
      </c>
      <c r="I34" s="167">
        <v>11.765932203389829</v>
      </c>
      <c r="J34" s="168">
        <v>225.22353220338982</v>
      </c>
      <c r="K34" s="169">
        <v>9459.3883525423735</v>
      </c>
      <c r="L34" s="167">
        <v>12.35422881355932</v>
      </c>
      <c r="M34" s="168">
        <v>236.47420881355933</v>
      </c>
      <c r="N34" s="169">
        <v>9931.9167701694914</v>
      </c>
      <c r="O34" s="167">
        <v>12.910169110169489</v>
      </c>
      <c r="P34" s="168">
        <v>247.11554821016949</v>
      </c>
      <c r="Q34" s="169">
        <v>10378.853024827118</v>
      </c>
      <c r="R34" s="167">
        <v>12.910169110169489</v>
      </c>
      <c r="S34" s="168">
        <v>247.11554821016949</v>
      </c>
      <c r="T34" s="169">
        <v>10378.853024827118</v>
      </c>
      <c r="U34" s="167">
        <v>13.426575874576269</v>
      </c>
      <c r="V34" s="168">
        <v>257.00017013857627</v>
      </c>
      <c r="W34" s="169">
        <v>10794.007145820204</v>
      </c>
      <c r="X34" s="168">
        <v>13.96363890955932</v>
      </c>
      <c r="Y34" s="168">
        <v>267.27017694411933</v>
      </c>
      <c r="Z34" s="169">
        <v>11225.347431653012</v>
      </c>
      <c r="AA34" s="168">
        <v>14.661820855037286</v>
      </c>
      <c r="AB34" s="168">
        <v>280.62893579132532</v>
      </c>
      <c r="AC34" s="169">
        <v>11786.415303235663</v>
      </c>
      <c r="AD34" s="168">
        <v>15.1</v>
      </c>
      <c r="AE34" s="165">
        <v>289.05</v>
      </c>
      <c r="AF34" s="169">
        <f t="shared" si="20"/>
        <v>12140.1</v>
      </c>
      <c r="AG34" s="168">
        <f t="shared" si="8"/>
        <v>15.553000000000001</v>
      </c>
      <c r="AH34" s="165">
        <f t="shared" si="8"/>
        <v>297.72149999999999</v>
      </c>
      <c r="AI34" s="169">
        <f t="shared" si="21"/>
        <v>12504.303</v>
      </c>
      <c r="AJ34" s="168">
        <f t="shared" si="24"/>
        <v>16.019590000000001</v>
      </c>
      <c r="AK34" s="165">
        <f t="shared" si="23"/>
        <v>306.65314499999999</v>
      </c>
      <c r="AL34" s="169">
        <f t="shared" si="22"/>
        <v>12879.43209</v>
      </c>
      <c r="AM34" s="373" t="s">
        <v>100</v>
      </c>
      <c r="AN34" s="391">
        <v>157.31990619000001</v>
      </c>
      <c r="AO34" s="392">
        <v>157.31990619000001</v>
      </c>
      <c r="AP34" s="393">
        <v>6607.4360599800002</v>
      </c>
      <c r="AQ34" s="373" t="s">
        <v>100</v>
      </c>
      <c r="AR34" s="391">
        <f t="shared" si="10"/>
        <v>162.03950337570001</v>
      </c>
      <c r="AS34" s="392">
        <f t="shared" si="11"/>
        <v>162.03950337570001</v>
      </c>
      <c r="AT34" s="393">
        <f t="shared" si="12"/>
        <v>6805.6591417794007</v>
      </c>
      <c r="AU34" s="391">
        <f t="shared" si="13"/>
        <v>166.900688476971</v>
      </c>
      <c r="AV34" s="392">
        <f t="shared" si="14"/>
        <v>166.900688476971</v>
      </c>
      <c r="AW34" s="393">
        <f t="shared" si="15"/>
        <v>7009.8289160327831</v>
      </c>
      <c r="AX34" s="391">
        <f t="shared" si="16"/>
        <v>171.90770913128014</v>
      </c>
      <c r="AY34" s="392">
        <f t="shared" si="17"/>
        <v>171.90770913128014</v>
      </c>
      <c r="AZ34" s="393">
        <f t="shared" si="18"/>
        <v>7220.1237835137672</v>
      </c>
      <c r="BA34" s="391">
        <f t="shared" si="19"/>
        <v>177.06494040521855</v>
      </c>
      <c r="BB34" s="392">
        <f t="shared" si="0"/>
        <v>177.06494040521855</v>
      </c>
      <c r="BC34" s="393">
        <f t="shared" si="1"/>
        <v>7436.7274970191802</v>
      </c>
      <c r="BD34" s="391">
        <f t="shared" si="2"/>
        <v>182.3768886173751</v>
      </c>
      <c r="BE34" s="392">
        <f t="shared" si="3"/>
        <v>182.3768886173751</v>
      </c>
      <c r="BF34" s="393">
        <f t="shared" si="4"/>
        <v>7659.8293219297557</v>
      </c>
      <c r="BG34" s="391">
        <f t="shared" si="5"/>
        <v>187.84819527589636</v>
      </c>
      <c r="BH34" s="392">
        <f t="shared" si="6"/>
        <v>187.84819527589636</v>
      </c>
      <c r="BI34" s="393">
        <f t="shared" si="7"/>
        <v>7889.6242015876487</v>
      </c>
    </row>
    <row r="35" spans="1:61" ht="14.25">
      <c r="A35" s="159">
        <v>264</v>
      </c>
      <c r="B35" s="214" t="s">
        <v>111</v>
      </c>
      <c r="C35" s="170">
        <v>96</v>
      </c>
      <c r="D35" s="161">
        <v>196</v>
      </c>
      <c r="E35" s="161">
        <v>8232</v>
      </c>
      <c r="F35" s="163">
        <v>96</v>
      </c>
      <c r="G35" s="161">
        <v>202.32</v>
      </c>
      <c r="H35" s="162">
        <v>8497.44</v>
      </c>
      <c r="I35" s="164">
        <v>101.28</v>
      </c>
      <c r="J35" s="161">
        <v>213.44759999999999</v>
      </c>
      <c r="K35" s="162">
        <v>8964.7991999999995</v>
      </c>
      <c r="L35" s="164">
        <v>106.34400000000001</v>
      </c>
      <c r="M35" s="161">
        <v>224.11998</v>
      </c>
      <c r="N35" s="162">
        <v>9413.0391600000003</v>
      </c>
      <c r="O35" s="164">
        <v>111.12948</v>
      </c>
      <c r="P35" s="161">
        <v>234.20537910000002</v>
      </c>
      <c r="Q35" s="162">
        <v>9836.6259222000008</v>
      </c>
      <c r="R35" s="164">
        <v>111.12948</v>
      </c>
      <c r="S35" s="161">
        <v>234.20537910000002</v>
      </c>
      <c r="T35" s="162">
        <v>9836.6259222000008</v>
      </c>
      <c r="U35" s="164">
        <v>115.5746592</v>
      </c>
      <c r="V35" s="161">
        <v>243.57359426400001</v>
      </c>
      <c r="W35" s="162">
        <v>10230.090959088</v>
      </c>
      <c r="X35" s="161">
        <v>120.18764556799999</v>
      </c>
      <c r="Y35" s="161">
        <v>253.30653803456002</v>
      </c>
      <c r="Z35" s="162">
        <v>10638.87459745152</v>
      </c>
      <c r="AA35" s="161">
        <v>126.1870278464</v>
      </c>
      <c r="AB35" s="161">
        <v>265.96711493628806</v>
      </c>
      <c r="AC35" s="162">
        <v>11170.618827324099</v>
      </c>
      <c r="AD35" s="161">
        <v>129.97999999999999</v>
      </c>
      <c r="AE35" s="165">
        <v>273.95</v>
      </c>
      <c r="AF35" s="162">
        <f t="shared" si="20"/>
        <v>11505.9</v>
      </c>
      <c r="AG35" s="161">
        <f t="shared" si="8"/>
        <v>133.8794</v>
      </c>
      <c r="AH35" s="165">
        <f t="shared" si="8"/>
        <v>282.16849999999999</v>
      </c>
      <c r="AI35" s="162">
        <f t="shared" si="21"/>
        <v>11851.076999999999</v>
      </c>
      <c r="AJ35" s="161">
        <f t="shared" si="24"/>
        <v>137.895782</v>
      </c>
      <c r="AK35" s="165">
        <f t="shared" si="23"/>
        <v>290.633555</v>
      </c>
      <c r="AL35" s="162">
        <f t="shared" si="22"/>
        <v>12206.60931</v>
      </c>
      <c r="AM35" s="373" t="s">
        <v>110</v>
      </c>
      <c r="AN35" s="391">
        <v>16.500177700000002</v>
      </c>
      <c r="AO35" s="392">
        <v>315.85273934999998</v>
      </c>
      <c r="AP35" s="393">
        <v>13265.8150527</v>
      </c>
      <c r="AQ35" s="373" t="s">
        <v>110</v>
      </c>
      <c r="AR35" s="391">
        <f t="shared" si="10"/>
        <v>16.995183031000003</v>
      </c>
      <c r="AS35" s="392">
        <f t="shared" si="11"/>
        <v>325.32832153049998</v>
      </c>
      <c r="AT35" s="393">
        <f t="shared" si="12"/>
        <v>13663.789504281</v>
      </c>
      <c r="AU35" s="391">
        <f t="shared" si="13"/>
        <v>17.505038521930004</v>
      </c>
      <c r="AV35" s="392">
        <f t="shared" si="14"/>
        <v>335.08817117641496</v>
      </c>
      <c r="AW35" s="393">
        <f t="shared" si="15"/>
        <v>14073.703189409431</v>
      </c>
      <c r="AX35" s="391">
        <f t="shared" si="16"/>
        <v>18.030189677587906</v>
      </c>
      <c r="AY35" s="392">
        <f t="shared" si="17"/>
        <v>345.1408163117074</v>
      </c>
      <c r="AZ35" s="393">
        <f t="shared" si="18"/>
        <v>14495.914285091714</v>
      </c>
      <c r="BA35" s="391">
        <f t="shared" si="19"/>
        <v>18.571095367915543</v>
      </c>
      <c r="BB35" s="392">
        <f t="shared" si="0"/>
        <v>355.49504080105862</v>
      </c>
      <c r="BC35" s="393">
        <f t="shared" si="1"/>
        <v>14930.791713644467</v>
      </c>
      <c r="BD35" s="391">
        <f t="shared" si="2"/>
        <v>19.128228228953009</v>
      </c>
      <c r="BE35" s="392">
        <f t="shared" si="3"/>
        <v>366.15989202509041</v>
      </c>
      <c r="BF35" s="393">
        <f t="shared" si="4"/>
        <v>15378.715465053801</v>
      </c>
      <c r="BG35" s="391">
        <f t="shared" si="5"/>
        <v>19.7020750758216</v>
      </c>
      <c r="BH35" s="392">
        <f t="shared" si="6"/>
        <v>377.14468878584313</v>
      </c>
      <c r="BI35" s="393">
        <f t="shared" si="7"/>
        <v>15840.076929005416</v>
      </c>
    </row>
    <row r="36" spans="1:61" ht="14.25">
      <c r="A36" s="159">
        <v>264</v>
      </c>
      <c r="B36" s="214" t="s">
        <v>112</v>
      </c>
      <c r="C36" s="170"/>
      <c r="D36" s="161"/>
      <c r="E36" s="161"/>
      <c r="F36" s="174"/>
      <c r="G36" s="161"/>
      <c r="H36" s="162"/>
      <c r="I36" s="164"/>
      <c r="J36" s="161"/>
      <c r="K36" s="162"/>
      <c r="L36" s="164"/>
      <c r="M36" s="161"/>
      <c r="N36" s="162"/>
      <c r="O36" s="164">
        <v>93.054100899999995</v>
      </c>
      <c r="P36" s="161">
        <v>216.13</v>
      </c>
      <c r="Q36" s="162">
        <v>9077.4599999999991</v>
      </c>
      <c r="R36" s="164">
        <v>96.781064935999993</v>
      </c>
      <c r="S36" s="164">
        <v>224.78</v>
      </c>
      <c r="T36" s="162">
        <v>9440.76</v>
      </c>
      <c r="U36" s="164">
        <v>96.781064935999993</v>
      </c>
      <c r="V36" s="164">
        <v>224.78</v>
      </c>
      <c r="W36" s="162">
        <v>9440.76</v>
      </c>
      <c r="X36" s="161">
        <v>100.65230753343999</v>
      </c>
      <c r="Y36" s="161">
        <v>233.77120000000002</v>
      </c>
      <c r="Z36" s="162">
        <v>9818.3904000000002</v>
      </c>
      <c r="AA36" s="161">
        <v>105.67492291011199</v>
      </c>
      <c r="AB36" s="161">
        <v>245.45501000000002</v>
      </c>
      <c r="AC36" s="162">
        <v>10309.110420000001</v>
      </c>
      <c r="AD36" s="161">
        <v>108.84</v>
      </c>
      <c r="AE36" s="165">
        <v>252.81</v>
      </c>
      <c r="AF36" s="162">
        <f t="shared" si="20"/>
        <v>10618.02</v>
      </c>
      <c r="AG36" s="161">
        <f>AD36*(1+$AI$2)-0.01</f>
        <v>112.09520000000001</v>
      </c>
      <c r="AH36" s="165">
        <f>AE36*(1+$AI$2)</f>
        <v>260.39429999999999</v>
      </c>
      <c r="AI36" s="162">
        <f t="shared" si="21"/>
        <v>10936.560599999999</v>
      </c>
      <c r="AJ36" s="161">
        <f>AG36*(1+$AI$2)-0.01</f>
        <v>115.44805600000001</v>
      </c>
      <c r="AK36" s="165">
        <f>AH36*(1+$AI$2)-0.02</f>
        <v>268.18612899999999</v>
      </c>
      <c r="AL36" s="162">
        <f t="shared" si="22"/>
        <v>11263.817418000001</v>
      </c>
      <c r="AM36" s="373" t="s">
        <v>111</v>
      </c>
      <c r="AN36" s="391">
        <v>142.03265546</v>
      </c>
      <c r="AO36" s="392">
        <v>299.35256164999998</v>
      </c>
      <c r="AP36" s="393">
        <v>12572.8075893</v>
      </c>
      <c r="AQ36" s="373" t="s">
        <v>111</v>
      </c>
      <c r="AR36" s="391">
        <f t="shared" si="10"/>
        <v>146.29363512380002</v>
      </c>
      <c r="AS36" s="392">
        <f t="shared" si="11"/>
        <v>308.33313849949997</v>
      </c>
      <c r="AT36" s="393">
        <f t="shared" si="12"/>
        <v>12949.991816979002</v>
      </c>
      <c r="AU36" s="391">
        <f t="shared" si="13"/>
        <v>150.68244417751401</v>
      </c>
      <c r="AV36" s="392">
        <f t="shared" si="14"/>
        <v>317.58313265448498</v>
      </c>
      <c r="AW36" s="393">
        <f t="shared" si="15"/>
        <v>13338.491571488372</v>
      </c>
      <c r="AX36" s="391">
        <f t="shared" si="16"/>
        <v>155.20291750283943</v>
      </c>
      <c r="AY36" s="392">
        <f t="shared" si="17"/>
        <v>327.11062663411957</v>
      </c>
      <c r="AZ36" s="393">
        <f t="shared" si="18"/>
        <v>13738.646318633024</v>
      </c>
      <c r="BA36" s="391">
        <f t="shared" si="19"/>
        <v>159.85900502792461</v>
      </c>
      <c r="BB36" s="392">
        <f t="shared" si="0"/>
        <v>336.92394543314316</v>
      </c>
      <c r="BC36" s="393">
        <f t="shared" si="1"/>
        <v>14150.805708192014</v>
      </c>
      <c r="BD36" s="391">
        <f t="shared" si="2"/>
        <v>164.65477517876235</v>
      </c>
      <c r="BE36" s="392">
        <f t="shared" si="3"/>
        <v>347.03166379613748</v>
      </c>
      <c r="BF36" s="393">
        <f t="shared" si="4"/>
        <v>14575.329879437775</v>
      </c>
      <c r="BG36" s="391">
        <f t="shared" si="5"/>
        <v>169.59441843412523</v>
      </c>
      <c r="BH36" s="392">
        <f t="shared" si="6"/>
        <v>357.44261371002159</v>
      </c>
      <c r="BI36" s="393">
        <f t="shared" si="7"/>
        <v>15012.589775820908</v>
      </c>
    </row>
    <row r="37" spans="1:61" ht="14.25">
      <c r="A37" s="159">
        <v>271</v>
      </c>
      <c r="B37" s="150" t="s">
        <v>113</v>
      </c>
      <c r="C37" s="170">
        <v>14</v>
      </c>
      <c r="D37" s="161">
        <v>210</v>
      </c>
      <c r="E37" s="161">
        <v>8820</v>
      </c>
      <c r="F37" s="174">
        <v>28</v>
      </c>
      <c r="G37" s="161">
        <v>230.32</v>
      </c>
      <c r="H37" s="162">
        <v>9673.44</v>
      </c>
      <c r="I37" s="164">
        <v>29.54</v>
      </c>
      <c r="J37" s="161">
        <v>242.98759999999999</v>
      </c>
      <c r="K37" s="162">
        <v>10205.4792</v>
      </c>
      <c r="L37" s="164">
        <v>31.016999999999999</v>
      </c>
      <c r="M37" s="161">
        <v>255.13697999999999</v>
      </c>
      <c r="N37" s="162">
        <v>10715.75316</v>
      </c>
      <c r="O37" s="164">
        <v>32.412765</v>
      </c>
      <c r="P37" s="161">
        <v>266.61814409999999</v>
      </c>
      <c r="Q37" s="162">
        <v>11197.9620522</v>
      </c>
      <c r="R37" s="164">
        <v>32.412765</v>
      </c>
      <c r="S37" s="161">
        <v>266.61814409999999</v>
      </c>
      <c r="T37" s="162">
        <v>11197.9620522</v>
      </c>
      <c r="U37" s="164">
        <v>33.709275599999998</v>
      </c>
      <c r="V37" s="161">
        <v>277.28286986400002</v>
      </c>
      <c r="W37" s="162">
        <v>11645.880534288</v>
      </c>
      <c r="X37" s="161">
        <v>35.067646623999998</v>
      </c>
      <c r="Y37" s="161">
        <v>288.37418465856001</v>
      </c>
      <c r="Z37" s="162">
        <v>12111.715755659521</v>
      </c>
      <c r="AA37" s="161">
        <v>36.821028955199999</v>
      </c>
      <c r="AB37" s="161">
        <v>302.78814389148806</v>
      </c>
      <c r="AC37" s="162">
        <v>12717.102043442499</v>
      </c>
      <c r="AD37" s="161">
        <v>37.92</v>
      </c>
      <c r="AE37" s="165">
        <v>311.87</v>
      </c>
      <c r="AF37" s="162">
        <f t="shared" si="20"/>
        <v>13098.54</v>
      </c>
      <c r="AG37" s="161">
        <f t="shared" si="8"/>
        <v>39.057600000000001</v>
      </c>
      <c r="AH37" s="165">
        <f t="shared" si="8"/>
        <v>321.22610000000003</v>
      </c>
      <c r="AI37" s="162">
        <f t="shared" si="21"/>
        <v>13491.496200000001</v>
      </c>
      <c r="AJ37" s="161">
        <f t="shared" ref="AJ37:AK47" si="25">AG37*(1+$AI$2)</f>
        <v>40.229328000000002</v>
      </c>
      <c r="AK37" s="165">
        <f>AH37*(1+$AI$2)</f>
        <v>330.86288300000007</v>
      </c>
      <c r="AL37" s="162">
        <f t="shared" si="22"/>
        <v>13896.241086000004</v>
      </c>
      <c r="AM37" s="373" t="s">
        <v>112</v>
      </c>
      <c r="AN37" s="391">
        <v>118.91149768000001</v>
      </c>
      <c r="AO37" s="392">
        <v>276.23171287000002</v>
      </c>
      <c r="AP37" s="393">
        <v>11601.731940540001</v>
      </c>
      <c r="AQ37" s="373" t="s">
        <v>112</v>
      </c>
      <c r="AR37" s="391">
        <f t="shared" si="10"/>
        <v>122.47884261040001</v>
      </c>
      <c r="AS37" s="392">
        <f t="shared" si="11"/>
        <v>284.51866425610001</v>
      </c>
      <c r="AT37" s="393">
        <f t="shared" si="12"/>
        <v>11949.783898756201</v>
      </c>
      <c r="AU37" s="391">
        <f t="shared" si="13"/>
        <v>126.15320788871202</v>
      </c>
      <c r="AV37" s="392">
        <f t="shared" si="14"/>
        <v>293.05422418378299</v>
      </c>
      <c r="AW37" s="393">
        <f t="shared" si="15"/>
        <v>12308.277415718887</v>
      </c>
      <c r="AX37" s="391">
        <f t="shared" si="16"/>
        <v>129.93780412537339</v>
      </c>
      <c r="AY37" s="392">
        <f t="shared" si="17"/>
        <v>301.84585090929647</v>
      </c>
      <c r="AZ37" s="393">
        <f t="shared" si="18"/>
        <v>12677.525738190454</v>
      </c>
      <c r="BA37" s="391">
        <f t="shared" si="19"/>
        <v>133.83593824913459</v>
      </c>
      <c r="BB37" s="392">
        <f t="shared" si="0"/>
        <v>310.90122643657537</v>
      </c>
      <c r="BC37" s="393">
        <f t="shared" si="1"/>
        <v>13057.851510336168</v>
      </c>
      <c r="BD37" s="391">
        <f t="shared" si="2"/>
        <v>137.85101639660863</v>
      </c>
      <c r="BE37" s="392">
        <f t="shared" si="3"/>
        <v>320.22826322967262</v>
      </c>
      <c r="BF37" s="393">
        <f t="shared" si="4"/>
        <v>13449.587055646252</v>
      </c>
      <c r="BG37" s="391">
        <f t="shared" si="5"/>
        <v>141.98654688850689</v>
      </c>
      <c r="BH37" s="392">
        <f t="shared" si="6"/>
        <v>329.83511112656282</v>
      </c>
      <c r="BI37" s="393">
        <f t="shared" si="7"/>
        <v>13853.074667315641</v>
      </c>
    </row>
    <row r="38" spans="1:61" ht="14.25">
      <c r="A38" s="166">
        <v>273</v>
      </c>
      <c r="B38" s="151" t="s">
        <v>114</v>
      </c>
      <c r="C38" s="168">
        <v>9.1265822784810133</v>
      </c>
      <c r="D38" s="168">
        <v>219.13</v>
      </c>
      <c r="E38" s="168">
        <v>9203.4599999999991</v>
      </c>
      <c r="F38" s="167">
        <v>18.253164556962027</v>
      </c>
      <c r="G38" s="168">
        <v>248.57316455696201</v>
      </c>
      <c r="H38" s="169">
        <v>10440.072911392404</v>
      </c>
      <c r="I38" s="167">
        <v>19.257088607594937</v>
      </c>
      <c r="J38" s="168">
        <v>262.25468860759491</v>
      </c>
      <c r="K38" s="169">
        <v>11014.696921518986</v>
      </c>
      <c r="L38" s="167">
        <v>20.219943037974684</v>
      </c>
      <c r="M38" s="168">
        <v>275.3569230379747</v>
      </c>
      <c r="N38" s="169">
        <v>11564.990767594938</v>
      </c>
      <c r="O38" s="167">
        <v>21.129840474683544</v>
      </c>
      <c r="P38" s="168">
        <v>287.74798457468353</v>
      </c>
      <c r="Q38" s="169">
        <v>12085.415352136708</v>
      </c>
      <c r="R38" s="167">
        <v>21.129840474683544</v>
      </c>
      <c r="S38" s="168">
        <v>287.74798457468353</v>
      </c>
      <c r="T38" s="169">
        <v>12085.415352136708</v>
      </c>
      <c r="U38" s="167">
        <v>21.975034093670885</v>
      </c>
      <c r="V38" s="168">
        <v>299.25790395767092</v>
      </c>
      <c r="W38" s="169">
        <v>12568.831966222178</v>
      </c>
      <c r="X38" s="168">
        <v>22.854035457417723</v>
      </c>
      <c r="Y38" s="168">
        <v>311.22822011597771</v>
      </c>
      <c r="Z38" s="169">
        <v>13071.585244871063</v>
      </c>
      <c r="AA38" s="168">
        <v>23.996737230288609</v>
      </c>
      <c r="AB38" s="168">
        <v>326.78488112177666</v>
      </c>
      <c r="AC38" s="169">
        <v>13724.965007114621</v>
      </c>
      <c r="AD38" s="168">
        <v>24.72</v>
      </c>
      <c r="AE38" s="165">
        <v>336.59</v>
      </c>
      <c r="AF38" s="169">
        <f t="shared" si="20"/>
        <v>14136.779999999999</v>
      </c>
      <c r="AG38" s="168">
        <f t="shared" si="8"/>
        <v>25.461600000000001</v>
      </c>
      <c r="AH38" s="165">
        <f t="shared" si="8"/>
        <v>346.68770000000001</v>
      </c>
      <c r="AI38" s="169">
        <f t="shared" si="21"/>
        <v>14560.883400000001</v>
      </c>
      <c r="AJ38" s="168">
        <f t="shared" si="25"/>
        <v>26.225448</v>
      </c>
      <c r="AK38" s="165">
        <f t="shared" si="25"/>
        <v>357.08833100000004</v>
      </c>
      <c r="AL38" s="169">
        <f t="shared" si="22"/>
        <v>14997.709902000002</v>
      </c>
      <c r="AM38" s="373" t="s">
        <v>113</v>
      </c>
      <c r="AN38" s="391">
        <v>41.435889570000022</v>
      </c>
      <c r="AO38" s="392">
        <v>340.78845122000001</v>
      </c>
      <c r="AP38" s="393">
        <v>14313.114951240001</v>
      </c>
      <c r="AQ38" s="373" t="s">
        <v>113</v>
      </c>
      <c r="AR38" s="391">
        <f t="shared" si="10"/>
        <v>42.678966257100022</v>
      </c>
      <c r="AS38" s="392">
        <f t="shared" si="11"/>
        <v>351.01210475660002</v>
      </c>
      <c r="AT38" s="393">
        <f t="shared" si="12"/>
        <v>14742.508399777202</v>
      </c>
      <c r="AU38" s="391">
        <f t="shared" si="13"/>
        <v>43.959335244813026</v>
      </c>
      <c r="AV38" s="392">
        <f t="shared" si="14"/>
        <v>361.54246789929806</v>
      </c>
      <c r="AW38" s="393">
        <f t="shared" si="15"/>
        <v>15184.783651770518</v>
      </c>
      <c r="AX38" s="391">
        <f t="shared" si="16"/>
        <v>45.278115302157417</v>
      </c>
      <c r="AY38" s="392">
        <f t="shared" si="17"/>
        <v>372.38874193627703</v>
      </c>
      <c r="AZ38" s="393">
        <f t="shared" si="18"/>
        <v>15640.327161323634</v>
      </c>
      <c r="BA38" s="391">
        <f t="shared" si="19"/>
        <v>46.636458761222144</v>
      </c>
      <c r="BB38" s="392">
        <f t="shared" si="0"/>
        <v>383.56040419436533</v>
      </c>
      <c r="BC38" s="393">
        <f t="shared" si="1"/>
        <v>16109.536976163343</v>
      </c>
      <c r="BD38" s="391">
        <f t="shared" si="2"/>
        <v>48.035552524058808</v>
      </c>
      <c r="BE38" s="392">
        <f t="shared" si="3"/>
        <v>395.06721632019628</v>
      </c>
      <c r="BF38" s="393">
        <f t="shared" si="4"/>
        <v>16592.823085448243</v>
      </c>
      <c r="BG38" s="391">
        <f t="shared" si="5"/>
        <v>49.476619099780571</v>
      </c>
      <c r="BH38" s="392">
        <f t="shared" si="6"/>
        <v>406.91923280980217</v>
      </c>
      <c r="BI38" s="393">
        <f t="shared" si="7"/>
        <v>17090.60777801169</v>
      </c>
    </row>
    <row r="39" spans="1:61" ht="14.25">
      <c r="A39" s="166">
        <v>280</v>
      </c>
      <c r="B39" s="151" t="s">
        <v>115</v>
      </c>
      <c r="C39" s="168">
        <v>4.4303797468354427</v>
      </c>
      <c r="D39" s="168">
        <v>223.56</v>
      </c>
      <c r="E39" s="168">
        <v>9389.52</v>
      </c>
      <c r="F39" s="167">
        <v>8.8607594936708853</v>
      </c>
      <c r="G39" s="168">
        <v>257.43392405063292</v>
      </c>
      <c r="H39" s="169">
        <v>10812.224810126583</v>
      </c>
      <c r="I39" s="167">
        <v>9.348101265822784</v>
      </c>
      <c r="J39" s="168">
        <v>271.60278987341769</v>
      </c>
      <c r="K39" s="169">
        <v>11407.317174683543</v>
      </c>
      <c r="L39" s="167">
        <v>9.8155063291139228</v>
      </c>
      <c r="M39" s="168">
        <v>285.17242936708863</v>
      </c>
      <c r="N39" s="169">
        <v>11977.242033417722</v>
      </c>
      <c r="O39" s="167">
        <v>10.257204113924049</v>
      </c>
      <c r="P39" s="168">
        <v>298.00518868860757</v>
      </c>
      <c r="Q39" s="169">
        <v>12516.217924921519</v>
      </c>
      <c r="R39" s="167">
        <v>10.257204113924049</v>
      </c>
      <c r="S39" s="168">
        <v>298.00518868860757</v>
      </c>
      <c r="T39" s="169">
        <v>12516.217924921519</v>
      </c>
      <c r="U39" s="167">
        <v>10.667492278481012</v>
      </c>
      <c r="V39" s="168">
        <v>309.92539623615193</v>
      </c>
      <c r="W39" s="169">
        <v>13016.866641918381</v>
      </c>
      <c r="X39" s="168">
        <v>11.104191969620253</v>
      </c>
      <c r="Y39" s="168">
        <v>322.33241208559798</v>
      </c>
      <c r="Z39" s="169">
        <v>13537.961307595115</v>
      </c>
      <c r="AA39" s="168">
        <v>11.659401568101266</v>
      </c>
      <c r="AB39" s="168">
        <v>338.44428268987792</v>
      </c>
      <c r="AC39" s="169">
        <v>14214.659872974873</v>
      </c>
      <c r="AD39" s="168">
        <v>12.01</v>
      </c>
      <c r="AE39" s="165">
        <v>348.6</v>
      </c>
      <c r="AF39" s="169">
        <f t="shared" si="20"/>
        <v>14641.2</v>
      </c>
      <c r="AG39" s="168">
        <f t="shared" si="8"/>
        <v>12.3703</v>
      </c>
      <c r="AH39" s="165">
        <f t="shared" si="8"/>
        <v>359.05800000000005</v>
      </c>
      <c r="AI39" s="169">
        <f t="shared" si="21"/>
        <v>15080.436000000002</v>
      </c>
      <c r="AJ39" s="168">
        <f t="shared" si="25"/>
        <v>12.741409000000001</v>
      </c>
      <c r="AK39" s="165">
        <f t="shared" si="25"/>
        <v>369.82974000000007</v>
      </c>
      <c r="AL39" s="169">
        <f t="shared" si="22"/>
        <v>15532.849080000004</v>
      </c>
      <c r="AM39" s="373" t="s">
        <v>114</v>
      </c>
      <c r="AN39" s="391">
        <v>27.012211440000002</v>
      </c>
      <c r="AO39" s="392">
        <v>367.80098093000004</v>
      </c>
      <c r="AP39" s="393">
        <v>15447.641199060003</v>
      </c>
      <c r="AQ39" s="373" t="s">
        <v>114</v>
      </c>
      <c r="AR39" s="391">
        <f t="shared" si="10"/>
        <v>27.822577783200003</v>
      </c>
      <c r="AS39" s="392">
        <f t="shared" si="11"/>
        <v>378.83501035790005</v>
      </c>
      <c r="AT39" s="393">
        <f t="shared" si="12"/>
        <v>15911.070435031803</v>
      </c>
      <c r="AU39" s="391">
        <f t="shared" si="13"/>
        <v>28.657255116696003</v>
      </c>
      <c r="AV39" s="392">
        <f t="shared" si="14"/>
        <v>390.20006066863704</v>
      </c>
      <c r="AW39" s="393">
        <f t="shared" si="15"/>
        <v>16388.402548082759</v>
      </c>
      <c r="AX39" s="391">
        <f t="shared" si="16"/>
        <v>29.516972770196883</v>
      </c>
      <c r="AY39" s="392">
        <f t="shared" si="17"/>
        <v>401.90606248869614</v>
      </c>
      <c r="AZ39" s="393">
        <f t="shared" si="18"/>
        <v>16880.054624525241</v>
      </c>
      <c r="BA39" s="391">
        <f t="shared" ref="BA39:BA61" si="26">AX39*(1+$BC$2)</f>
        <v>30.402481953302789</v>
      </c>
      <c r="BB39" s="392">
        <f t="shared" ref="BB39:BB61" si="27">AY39*(1+$BC$2)</f>
        <v>413.96324436335703</v>
      </c>
      <c r="BC39" s="393">
        <f t="shared" ref="BC39:BC61" si="28">AZ39*(1+$BC$2)</f>
        <v>17386.456263261</v>
      </c>
      <c r="BD39" s="391">
        <f t="shared" ref="BD39:BD61" si="29">BA39*(1+$BF$2)</f>
        <v>31.314556411901872</v>
      </c>
      <c r="BE39" s="392">
        <f t="shared" ref="BE39:BE61" si="30">BB39*(1+$BF$2)</f>
        <v>426.38214169425777</v>
      </c>
      <c r="BF39" s="393">
        <f t="shared" ref="BF39:BF61" si="31">BC39*(1+$BF$2)</f>
        <v>17908.049951158831</v>
      </c>
      <c r="BG39" s="391">
        <f t="shared" si="5"/>
        <v>32.253993104258932</v>
      </c>
      <c r="BH39" s="392">
        <f t="shared" si="6"/>
        <v>439.17360594508551</v>
      </c>
      <c r="BI39" s="393">
        <f t="shared" si="7"/>
        <v>18445.291449693595</v>
      </c>
    </row>
    <row r="40" spans="1:61" ht="14.25">
      <c r="A40" s="159">
        <v>278</v>
      </c>
      <c r="B40" s="150" t="s">
        <v>116</v>
      </c>
      <c r="C40" s="170">
        <v>14</v>
      </c>
      <c r="D40" s="161">
        <v>224</v>
      </c>
      <c r="E40" s="161">
        <v>9408</v>
      </c>
      <c r="F40" s="163">
        <v>28</v>
      </c>
      <c r="G40" s="161">
        <v>258.32</v>
      </c>
      <c r="H40" s="162">
        <v>10849.44</v>
      </c>
      <c r="I40" s="164">
        <v>29.54</v>
      </c>
      <c r="J40" s="161">
        <v>272.52760000000001</v>
      </c>
      <c r="K40" s="162">
        <v>11446.1592</v>
      </c>
      <c r="L40" s="164">
        <v>31.016999999999999</v>
      </c>
      <c r="M40" s="161">
        <v>286.16397999999998</v>
      </c>
      <c r="N40" s="162">
        <v>12018.887159999998</v>
      </c>
      <c r="O40" s="164">
        <v>32.418968399999997</v>
      </c>
      <c r="P40" s="161">
        <v>299.03711249999998</v>
      </c>
      <c r="Q40" s="162">
        <v>12559.558724999999</v>
      </c>
      <c r="R40" s="164">
        <v>32.422764999999998</v>
      </c>
      <c r="S40" s="161">
        <v>299.04090910000002</v>
      </c>
      <c r="T40" s="162">
        <v>12559.7181822</v>
      </c>
      <c r="U40" s="164">
        <v>33.719675600000002</v>
      </c>
      <c r="V40" s="161">
        <v>311.00254546400004</v>
      </c>
      <c r="W40" s="162">
        <v>13062.106909488002</v>
      </c>
      <c r="X40" s="161">
        <v>35.058462624000008</v>
      </c>
      <c r="Y40" s="161">
        <v>323.43264728256003</v>
      </c>
      <c r="Z40" s="162">
        <v>13584.171185867521</v>
      </c>
      <c r="AA40" s="161">
        <v>36.811385755200007</v>
      </c>
      <c r="AB40" s="161">
        <v>339.59952964668798</v>
      </c>
      <c r="AC40" s="162">
        <v>14263.1802451609</v>
      </c>
      <c r="AD40" s="161">
        <v>37.909999999999997</v>
      </c>
      <c r="AE40" s="165">
        <v>349.78</v>
      </c>
      <c r="AF40" s="162">
        <f t="shared" si="20"/>
        <v>14690.759999999998</v>
      </c>
      <c r="AG40" s="161">
        <f t="shared" si="8"/>
        <v>39.0473</v>
      </c>
      <c r="AH40" s="165">
        <f t="shared" si="8"/>
        <v>360.27339999999998</v>
      </c>
      <c r="AI40" s="162">
        <f t="shared" si="21"/>
        <v>15131.4828</v>
      </c>
      <c r="AJ40" s="161">
        <f t="shared" si="25"/>
        <v>40.218719</v>
      </c>
      <c r="AK40" s="405">
        <f t="shared" si="25"/>
        <v>371.08160199999998</v>
      </c>
      <c r="AL40" s="162">
        <f t="shared" si="22"/>
        <v>15585.427283999999</v>
      </c>
      <c r="AM40" s="373" t="s">
        <v>115</v>
      </c>
      <c r="AN40" s="391">
        <v>13.123651270000002</v>
      </c>
      <c r="AO40" s="392">
        <v>380.92463220000008</v>
      </c>
      <c r="AP40" s="393">
        <v>15998.834552400003</v>
      </c>
      <c r="AQ40" s="373" t="s">
        <v>115</v>
      </c>
      <c r="AR40" s="391">
        <f t="shared" si="10"/>
        <v>13.517360808100001</v>
      </c>
      <c r="AS40" s="392">
        <f t="shared" si="11"/>
        <v>392.35237116600007</v>
      </c>
      <c r="AT40" s="393">
        <f t="shared" si="12"/>
        <v>16478.799588972004</v>
      </c>
      <c r="AU40" s="391">
        <f t="shared" si="13"/>
        <v>13.922881632343001</v>
      </c>
      <c r="AV40" s="392">
        <f t="shared" si="14"/>
        <v>404.12294230098007</v>
      </c>
      <c r="AW40" s="393">
        <f t="shared" si="15"/>
        <v>16973.163576641164</v>
      </c>
      <c r="AX40" s="391">
        <f t="shared" si="16"/>
        <v>14.340568081313291</v>
      </c>
      <c r="AY40" s="392">
        <f t="shared" si="17"/>
        <v>416.24663057000947</v>
      </c>
      <c r="AZ40" s="393">
        <f t="shared" si="18"/>
        <v>17482.358483940399</v>
      </c>
      <c r="BA40" s="391">
        <f t="shared" si="26"/>
        <v>14.77078512375269</v>
      </c>
      <c r="BB40" s="392">
        <f t="shared" si="27"/>
        <v>428.73402948710975</v>
      </c>
      <c r="BC40" s="393">
        <f t="shared" si="28"/>
        <v>18006.829238458613</v>
      </c>
      <c r="BD40" s="391">
        <f t="shared" si="29"/>
        <v>15.213908677465271</v>
      </c>
      <c r="BE40" s="392">
        <f t="shared" si="30"/>
        <v>441.59605037172304</v>
      </c>
      <c r="BF40" s="393">
        <f t="shared" si="31"/>
        <v>18547.034115612372</v>
      </c>
      <c r="BG40" s="391">
        <f t="shared" si="5"/>
        <v>15.670325937789229</v>
      </c>
      <c r="BH40" s="392">
        <f t="shared" si="6"/>
        <v>454.84393188287476</v>
      </c>
      <c r="BI40" s="393">
        <f t="shared" si="7"/>
        <v>19103.445139080744</v>
      </c>
    </row>
    <row r="41" spans="1:61" ht="14.25">
      <c r="A41" s="159">
        <v>276</v>
      </c>
      <c r="B41" s="150" t="s">
        <v>117</v>
      </c>
      <c r="C41" s="161"/>
      <c r="D41" s="161"/>
      <c r="E41" s="161"/>
      <c r="F41" s="164"/>
      <c r="G41" s="161"/>
      <c r="H41" s="162"/>
      <c r="I41" s="164">
        <v>0</v>
      </c>
      <c r="J41" s="161"/>
      <c r="K41" s="162">
        <v>0</v>
      </c>
      <c r="L41" s="164"/>
      <c r="M41" s="161"/>
      <c r="N41" s="162"/>
      <c r="O41" s="164"/>
      <c r="P41" s="161"/>
      <c r="Q41" s="162"/>
      <c r="R41" s="164">
        <v>0</v>
      </c>
      <c r="S41" s="161"/>
      <c r="T41" s="162"/>
      <c r="U41" s="164"/>
      <c r="V41" s="161"/>
      <c r="W41" s="162"/>
      <c r="X41" s="161"/>
      <c r="Y41" s="161"/>
      <c r="Z41" s="162"/>
      <c r="AA41" s="161">
        <v>0</v>
      </c>
      <c r="AB41" s="161"/>
      <c r="AC41" s="162">
        <v>0</v>
      </c>
      <c r="AD41" s="161">
        <v>0</v>
      </c>
      <c r="AE41" s="165"/>
      <c r="AF41" s="162">
        <f t="shared" si="20"/>
        <v>0</v>
      </c>
      <c r="AG41" s="161">
        <f t="shared" si="8"/>
        <v>0</v>
      </c>
      <c r="AH41" s="165">
        <f t="shared" si="8"/>
        <v>0</v>
      </c>
      <c r="AI41" s="162">
        <f t="shared" si="21"/>
        <v>0</v>
      </c>
      <c r="AJ41" s="161">
        <f t="shared" si="25"/>
        <v>0</v>
      </c>
      <c r="AK41" s="165">
        <f t="shared" si="25"/>
        <v>0</v>
      </c>
      <c r="AL41" s="162">
        <f t="shared" si="22"/>
        <v>0</v>
      </c>
      <c r="AM41" s="373" t="s">
        <v>116</v>
      </c>
      <c r="AN41" s="391">
        <v>41.425280569999998</v>
      </c>
      <c r="AO41" s="405">
        <v>382.21405005999998</v>
      </c>
      <c r="AP41" s="393">
        <v>16052.99010252</v>
      </c>
      <c r="AQ41" s="373" t="s">
        <v>116</v>
      </c>
      <c r="AR41" s="391">
        <f t="shared" si="10"/>
        <v>42.668038987099997</v>
      </c>
      <c r="AS41" s="405">
        <f t="shared" si="11"/>
        <v>393.6804715618</v>
      </c>
      <c r="AT41" s="393">
        <f t="shared" si="12"/>
        <v>16534.5798055956</v>
      </c>
      <c r="AU41" s="391">
        <f t="shared" si="13"/>
        <v>43.948080156712997</v>
      </c>
      <c r="AV41" s="405">
        <f t="shared" si="14"/>
        <v>405.49088570865399</v>
      </c>
      <c r="AW41" s="393">
        <f t="shared" si="15"/>
        <v>17030.61719976347</v>
      </c>
      <c r="AX41" s="391">
        <f t="shared" si="16"/>
        <v>45.266522561414391</v>
      </c>
      <c r="AY41" s="405">
        <f>AV41*(1+$AZ$2)</f>
        <v>417.65561227991361</v>
      </c>
      <c r="AZ41" s="393">
        <f t="shared" si="18"/>
        <v>17541.535715756374</v>
      </c>
      <c r="BA41" s="391">
        <f t="shared" si="26"/>
        <v>46.624518238256826</v>
      </c>
      <c r="BB41" s="405">
        <f t="shared" si="27"/>
        <v>430.18528064831105</v>
      </c>
      <c r="BC41" s="393">
        <f t="shared" si="28"/>
        <v>18067.781787229065</v>
      </c>
      <c r="BD41" s="391">
        <f t="shared" si="29"/>
        <v>48.023253785404535</v>
      </c>
      <c r="BE41" s="405">
        <f t="shared" si="30"/>
        <v>443.09083906776038</v>
      </c>
      <c r="BF41" s="393">
        <f t="shared" si="31"/>
        <v>18609.815240845939</v>
      </c>
      <c r="BG41" s="391">
        <f t="shared" si="5"/>
        <v>49.463951398966671</v>
      </c>
      <c r="BH41" s="405">
        <f t="shared" si="6"/>
        <v>456.3835642397932</v>
      </c>
      <c r="BI41" s="393">
        <f t="shared" si="7"/>
        <v>19168.109698071319</v>
      </c>
    </row>
    <row r="42" spans="1:61" ht="14.25">
      <c r="A42" s="159">
        <v>279</v>
      </c>
      <c r="B42" s="150" t="s">
        <v>118</v>
      </c>
      <c r="C42" s="161">
        <v>0</v>
      </c>
      <c r="D42" s="161">
        <v>0</v>
      </c>
      <c r="E42" s="161">
        <v>0</v>
      </c>
      <c r="F42" s="163">
        <v>37</v>
      </c>
      <c r="G42" s="161">
        <v>295.32</v>
      </c>
      <c r="H42" s="162">
        <v>12403.44</v>
      </c>
      <c r="I42" s="164">
        <v>39.034999999999997</v>
      </c>
      <c r="J42" s="161">
        <v>311.57259999999997</v>
      </c>
      <c r="K42" s="162">
        <v>13086.049199999998</v>
      </c>
      <c r="L42" s="164">
        <v>40.986750000000001</v>
      </c>
      <c r="M42" s="161">
        <v>327.15072999999995</v>
      </c>
      <c r="N42" s="162">
        <v>13740.330659999998</v>
      </c>
      <c r="O42" s="164">
        <v>42.831153749999999</v>
      </c>
      <c r="P42" s="161">
        <v>341.86826624999998</v>
      </c>
      <c r="Q42" s="162">
        <v>14358.467182499999</v>
      </c>
      <c r="R42" s="164">
        <v>42.831153749999999</v>
      </c>
      <c r="S42" s="161">
        <v>341.87206285000002</v>
      </c>
      <c r="T42" s="162">
        <v>14358.6266397</v>
      </c>
      <c r="U42" s="164">
        <v>44.544399900000002</v>
      </c>
      <c r="V42" s="161">
        <v>355.54694536400007</v>
      </c>
      <c r="W42" s="162">
        <v>14932.971705288002</v>
      </c>
      <c r="X42" s="161">
        <v>46.336175896</v>
      </c>
      <c r="Y42" s="161">
        <v>369.76882317856001</v>
      </c>
      <c r="Z42" s="162">
        <v>15530.29057349952</v>
      </c>
      <c r="AA42" s="161">
        <v>48.652984690800004</v>
      </c>
      <c r="AB42" s="161">
        <v>388.25251433748809</v>
      </c>
      <c r="AC42" s="162">
        <v>16306.605602174501</v>
      </c>
      <c r="AD42" s="161">
        <v>50.11</v>
      </c>
      <c r="AE42" s="165">
        <v>399.89</v>
      </c>
      <c r="AF42" s="162">
        <f t="shared" si="20"/>
        <v>16795.38</v>
      </c>
      <c r="AG42" s="161">
        <f t="shared" si="8"/>
        <v>51.613300000000002</v>
      </c>
      <c r="AH42" s="165">
        <f t="shared" si="8"/>
        <v>411.88670000000002</v>
      </c>
      <c r="AI42" s="162">
        <f t="shared" si="21"/>
        <v>17299.241399999999</v>
      </c>
      <c r="AJ42" s="161">
        <f>AG42*(1+$AI$2)+0.01</f>
        <v>53.171699000000004</v>
      </c>
      <c r="AK42" s="165">
        <f>AH42*(1+$AI$2)+0.01</f>
        <v>424.25330100000002</v>
      </c>
      <c r="AL42" s="162">
        <f t="shared" si="22"/>
        <v>17818.638642000002</v>
      </c>
      <c r="AM42" s="373" t="s">
        <v>117</v>
      </c>
      <c r="AN42" s="391">
        <v>0</v>
      </c>
      <c r="AO42" s="392">
        <v>0</v>
      </c>
      <c r="AP42" s="393">
        <v>0</v>
      </c>
      <c r="AQ42" s="373" t="s">
        <v>117</v>
      </c>
      <c r="AR42" s="391">
        <f t="shared" si="10"/>
        <v>0</v>
      </c>
      <c r="AS42" s="392">
        <f t="shared" si="11"/>
        <v>0</v>
      </c>
      <c r="AT42" s="393">
        <f t="shared" si="12"/>
        <v>0</v>
      </c>
      <c r="AU42" s="391">
        <f t="shared" si="13"/>
        <v>0</v>
      </c>
      <c r="AV42" s="392">
        <f t="shared" si="14"/>
        <v>0</v>
      </c>
      <c r="AW42" s="393">
        <f t="shared" si="15"/>
        <v>0</v>
      </c>
      <c r="AX42" s="391">
        <f t="shared" si="16"/>
        <v>0</v>
      </c>
      <c r="AY42" s="392">
        <f t="shared" si="17"/>
        <v>0</v>
      </c>
      <c r="AZ42" s="393">
        <f t="shared" si="18"/>
        <v>0</v>
      </c>
      <c r="BA42" s="391">
        <f t="shared" si="26"/>
        <v>0</v>
      </c>
      <c r="BB42" s="392">
        <f t="shared" si="27"/>
        <v>0</v>
      </c>
      <c r="BC42" s="393">
        <f t="shared" si="28"/>
        <v>0</v>
      </c>
      <c r="BD42" s="391">
        <f t="shared" si="29"/>
        <v>0</v>
      </c>
      <c r="BE42" s="392">
        <f t="shared" si="30"/>
        <v>0</v>
      </c>
      <c r="BF42" s="393">
        <f t="shared" si="31"/>
        <v>0</v>
      </c>
      <c r="BG42" s="391">
        <f t="shared" si="5"/>
        <v>0</v>
      </c>
      <c r="BH42" s="392">
        <f t="shared" si="6"/>
        <v>0</v>
      </c>
      <c r="BI42" s="393">
        <f t="shared" si="7"/>
        <v>0</v>
      </c>
    </row>
    <row r="43" spans="1:61" ht="14.25">
      <c r="A43" s="159"/>
      <c r="B43" s="150" t="s">
        <v>119</v>
      </c>
      <c r="C43" s="170">
        <v>67</v>
      </c>
      <c r="D43" s="161">
        <v>67</v>
      </c>
      <c r="E43" s="161">
        <v>2814</v>
      </c>
      <c r="F43" s="163">
        <v>37</v>
      </c>
      <c r="G43" s="161">
        <v>332.32</v>
      </c>
      <c r="H43" s="162">
        <v>13957.44</v>
      </c>
      <c r="I43" s="164">
        <v>39.034999999999997</v>
      </c>
      <c r="J43" s="161">
        <v>350.59759999999994</v>
      </c>
      <c r="K43" s="162">
        <v>14725.099199999997</v>
      </c>
      <c r="L43" s="164">
        <v>40.986750000000001</v>
      </c>
      <c r="M43" s="161">
        <v>368.13747999999998</v>
      </c>
      <c r="N43" s="162">
        <v>15461.774159999999</v>
      </c>
      <c r="O43" s="164">
        <v>42.831153749999999</v>
      </c>
      <c r="P43" s="161">
        <v>384.70321659999991</v>
      </c>
      <c r="Q43" s="162">
        <v>16157.535097199996</v>
      </c>
      <c r="R43" s="164">
        <v>42.831153749999999</v>
      </c>
      <c r="S43" s="161">
        <v>384.70321659999991</v>
      </c>
      <c r="T43" s="162">
        <v>16157.535097199996</v>
      </c>
      <c r="U43" s="164">
        <v>44.544399900000002</v>
      </c>
      <c r="V43" s="161">
        <v>400.09134526399987</v>
      </c>
      <c r="W43" s="162">
        <v>16803.836501087993</v>
      </c>
      <c r="X43" s="161">
        <v>46.326175896000002</v>
      </c>
      <c r="Y43" s="161">
        <v>416.09499907455989</v>
      </c>
      <c r="Z43" s="162">
        <v>17475.989961131516</v>
      </c>
      <c r="AA43" s="161">
        <v>48.652484690800001</v>
      </c>
      <c r="AB43" s="161">
        <v>436.90974902828793</v>
      </c>
      <c r="AC43" s="162">
        <v>18350.209459188092</v>
      </c>
      <c r="AD43" s="161">
        <v>50.11</v>
      </c>
      <c r="AE43" s="165">
        <v>450.02</v>
      </c>
      <c r="AF43" s="162">
        <f t="shared" si="20"/>
        <v>18900.84</v>
      </c>
      <c r="AG43" s="161">
        <f t="shared" si="8"/>
        <v>51.613300000000002</v>
      </c>
      <c r="AH43" s="165">
        <f t="shared" si="8"/>
        <v>463.5206</v>
      </c>
      <c r="AI43" s="162">
        <f t="shared" si="21"/>
        <v>19467.8652</v>
      </c>
      <c r="AJ43" s="161">
        <f>AG43*(1+$AI$2)+0.01</f>
        <v>53.171699000000004</v>
      </c>
      <c r="AK43" s="165">
        <f>AH43*(1+$AI$2)</f>
        <v>477.42621800000001</v>
      </c>
      <c r="AL43" s="162">
        <f t="shared" si="22"/>
        <v>20051.901156</v>
      </c>
      <c r="AM43" s="373" t="s">
        <v>118</v>
      </c>
      <c r="AN43" s="391">
        <v>54.766849970000003</v>
      </c>
      <c r="AO43" s="392">
        <v>436.98090003000004</v>
      </c>
      <c r="AP43" s="393">
        <v>18353.197801260001</v>
      </c>
      <c r="AQ43" s="373" t="s">
        <v>118</v>
      </c>
      <c r="AR43" s="391">
        <f t="shared" si="10"/>
        <v>56.409855469100002</v>
      </c>
      <c r="AS43" s="392">
        <f t="shared" si="11"/>
        <v>450.09032703090008</v>
      </c>
      <c r="AT43" s="393">
        <f t="shared" si="12"/>
        <v>18903.793735297801</v>
      </c>
      <c r="AU43" s="391">
        <f t="shared" si="13"/>
        <v>58.102151133173003</v>
      </c>
      <c r="AV43" s="392">
        <f t="shared" si="14"/>
        <v>463.59303684182709</v>
      </c>
      <c r="AW43" s="393">
        <f t="shared" si="15"/>
        <v>19470.907547356735</v>
      </c>
      <c r="AX43" s="391">
        <f t="shared" si="16"/>
        <v>59.845215667168198</v>
      </c>
      <c r="AY43" s="392">
        <f t="shared" si="17"/>
        <v>477.50082794708192</v>
      </c>
      <c r="AZ43" s="393">
        <f t="shared" si="18"/>
        <v>20055.034773777439</v>
      </c>
      <c r="BA43" s="391">
        <f t="shared" si="26"/>
        <v>61.640572137183248</v>
      </c>
      <c r="BB43" s="392">
        <f t="shared" si="27"/>
        <v>491.82585278549436</v>
      </c>
      <c r="BC43" s="393">
        <f t="shared" si="28"/>
        <v>20656.685816990765</v>
      </c>
      <c r="BD43" s="391">
        <f t="shared" si="29"/>
        <v>63.48978930129875</v>
      </c>
      <c r="BE43" s="392">
        <f t="shared" si="30"/>
        <v>506.58062836905918</v>
      </c>
      <c r="BF43" s="393">
        <f t="shared" si="31"/>
        <v>21276.386391500488</v>
      </c>
      <c r="BG43" s="391">
        <f t="shared" si="5"/>
        <v>65.394482980337713</v>
      </c>
      <c r="BH43" s="392">
        <f t="shared" si="6"/>
        <v>521.77804722013093</v>
      </c>
      <c r="BI43" s="393">
        <f t="shared" si="7"/>
        <v>21914.677983245503</v>
      </c>
    </row>
    <row r="44" spans="1:61" ht="15" thickBot="1">
      <c r="A44" s="206">
        <v>277</v>
      </c>
      <c r="B44" s="226" t="s">
        <v>120</v>
      </c>
      <c r="C44" s="209">
        <v>0</v>
      </c>
      <c r="D44" s="209">
        <v>0</v>
      </c>
      <c r="E44" s="209">
        <v>0</v>
      </c>
      <c r="F44" s="211">
        <v>295.32</v>
      </c>
      <c r="G44" s="209">
        <v>295.32</v>
      </c>
      <c r="H44" s="210">
        <v>12403.44</v>
      </c>
      <c r="I44" s="216">
        <v>311.56259999999997</v>
      </c>
      <c r="J44" s="209">
        <v>311.57259999999997</v>
      </c>
      <c r="K44" s="210">
        <v>13086.049199999998</v>
      </c>
      <c r="L44" s="216">
        <v>327.14072999999996</v>
      </c>
      <c r="M44" s="209">
        <v>327.15072999999995</v>
      </c>
      <c r="N44" s="210">
        <v>13740.330659999998</v>
      </c>
      <c r="O44" s="216">
        <v>341.86206284999992</v>
      </c>
      <c r="P44" s="209">
        <v>341.87206284999991</v>
      </c>
      <c r="Q44" s="210">
        <v>14358.626639699996</v>
      </c>
      <c r="R44" s="216">
        <v>341.87206284999991</v>
      </c>
      <c r="S44" s="209">
        <v>341.87206284999991</v>
      </c>
      <c r="T44" s="210">
        <v>14358.626639699996</v>
      </c>
      <c r="U44" s="216">
        <v>355.5469453639999</v>
      </c>
      <c r="V44" s="209">
        <v>355.5469453639999</v>
      </c>
      <c r="W44" s="210">
        <v>14932.971705287995</v>
      </c>
      <c r="X44" s="209">
        <v>369.7688231785599</v>
      </c>
      <c r="Y44" s="209">
        <v>369.7688231785599</v>
      </c>
      <c r="Z44" s="210">
        <v>15530.290573499517</v>
      </c>
      <c r="AA44" s="209">
        <v>388.25726433748792</v>
      </c>
      <c r="AB44" s="209">
        <v>388.25726433748792</v>
      </c>
      <c r="AC44" s="210">
        <v>16306.805102174492</v>
      </c>
      <c r="AD44" s="209">
        <v>399.91</v>
      </c>
      <c r="AE44" s="212">
        <v>399.91</v>
      </c>
      <c r="AF44" s="210">
        <f t="shared" si="20"/>
        <v>16796.22</v>
      </c>
      <c r="AG44" s="209">
        <f t="shared" si="8"/>
        <v>411.90730000000002</v>
      </c>
      <c r="AH44" s="212">
        <f t="shared" si="8"/>
        <v>411.90730000000002</v>
      </c>
      <c r="AI44" s="210">
        <f t="shared" si="21"/>
        <v>17300.106599999999</v>
      </c>
      <c r="AJ44" s="209">
        <f>AG44*(1+$AI$2)</f>
        <v>424.26451900000001</v>
      </c>
      <c r="AK44" s="212">
        <f>AH44*(1+$AI$2)</f>
        <v>424.26451900000001</v>
      </c>
      <c r="AL44" s="210">
        <f t="shared" si="22"/>
        <v>17819.109798000001</v>
      </c>
      <c r="AM44" s="373" t="s">
        <v>119</v>
      </c>
      <c r="AN44" s="391">
        <v>54.766849970000003</v>
      </c>
      <c r="AO44" s="392">
        <v>491.74900454000004</v>
      </c>
      <c r="AP44" s="393">
        <v>20653.458190680001</v>
      </c>
      <c r="AQ44" s="373" t="s">
        <v>119</v>
      </c>
      <c r="AR44" s="391">
        <f t="shared" si="10"/>
        <v>56.409855469100002</v>
      </c>
      <c r="AS44" s="392">
        <f t="shared" si="11"/>
        <v>506.50147467620008</v>
      </c>
      <c r="AT44" s="393">
        <f t="shared" si="12"/>
        <v>21273.061936400401</v>
      </c>
      <c r="AU44" s="391">
        <f t="shared" si="13"/>
        <v>58.102151133173003</v>
      </c>
      <c r="AV44" s="392">
        <f t="shared" si="14"/>
        <v>521.69651891648607</v>
      </c>
      <c r="AW44" s="393">
        <f t="shared" si="15"/>
        <v>21911.253794492415</v>
      </c>
      <c r="AX44" s="391">
        <f t="shared" si="16"/>
        <v>59.845215667168198</v>
      </c>
      <c r="AY44" s="392">
        <f t="shared" si="17"/>
        <v>537.34741448398063</v>
      </c>
      <c r="AZ44" s="393">
        <f t="shared" si="18"/>
        <v>22568.591408327189</v>
      </c>
      <c r="BA44" s="391">
        <f t="shared" si="26"/>
        <v>61.640572137183248</v>
      </c>
      <c r="BB44" s="392">
        <f t="shared" si="27"/>
        <v>553.4678369185001</v>
      </c>
      <c r="BC44" s="393">
        <f t="shared" si="28"/>
        <v>23245.649150577006</v>
      </c>
      <c r="BD44" s="391">
        <f t="shared" si="29"/>
        <v>63.48978930129875</v>
      </c>
      <c r="BE44" s="392">
        <f t="shared" si="30"/>
        <v>570.07187202605508</v>
      </c>
      <c r="BF44" s="393">
        <f t="shared" si="31"/>
        <v>23943.018625094319</v>
      </c>
      <c r="BG44" s="391">
        <f t="shared" si="5"/>
        <v>65.394482980337713</v>
      </c>
      <c r="BH44" s="392">
        <f t="shared" si="6"/>
        <v>587.17402818683672</v>
      </c>
      <c r="BI44" s="393">
        <f t="shared" si="7"/>
        <v>24661.309183847148</v>
      </c>
    </row>
    <row r="45" spans="1:61" ht="15" thickBot="1">
      <c r="A45" s="159">
        <v>210</v>
      </c>
      <c r="B45" s="150" t="s">
        <v>97</v>
      </c>
      <c r="C45" s="160">
        <v>15</v>
      </c>
      <c r="D45" s="154">
        <v>15</v>
      </c>
      <c r="E45" s="155">
        <v>630</v>
      </c>
      <c r="F45" s="222">
        <v>35.32</v>
      </c>
      <c r="G45" s="154">
        <v>35.32</v>
      </c>
      <c r="H45" s="155">
        <v>1483.44</v>
      </c>
      <c r="I45" s="157">
        <v>37.262599999999999</v>
      </c>
      <c r="J45" s="154">
        <v>37.262599999999999</v>
      </c>
      <c r="K45" s="155">
        <v>1565.0291999999999</v>
      </c>
      <c r="L45" s="157">
        <v>39.125729999999997</v>
      </c>
      <c r="M45" s="154">
        <v>39.125729999999997</v>
      </c>
      <c r="N45" s="155">
        <v>1643.2806599999999</v>
      </c>
      <c r="O45" s="157">
        <v>40.886387849999991</v>
      </c>
      <c r="P45" s="154">
        <v>40.886387849999991</v>
      </c>
      <c r="Q45" s="155">
        <v>1717.2282896999996</v>
      </c>
      <c r="R45" s="157">
        <v>63.55</v>
      </c>
      <c r="S45" s="154">
        <v>63.55</v>
      </c>
      <c r="T45" s="155">
        <v>2669.1</v>
      </c>
      <c r="U45" s="157">
        <v>66.091999999999999</v>
      </c>
      <c r="V45" s="154">
        <v>66.091999999999999</v>
      </c>
      <c r="W45" s="155">
        <v>2775.864</v>
      </c>
      <c r="X45" s="154">
        <v>68.725679999999997</v>
      </c>
      <c r="Y45" s="154">
        <v>68.725679999999997</v>
      </c>
      <c r="Z45" s="155">
        <v>2886.47856</v>
      </c>
      <c r="AA45" s="154">
        <v>72.161963999999998</v>
      </c>
      <c r="AB45" s="154">
        <v>72.161963999999998</v>
      </c>
      <c r="AC45" s="155">
        <v>3030.8024879999998</v>
      </c>
      <c r="AD45" s="154">
        <v>74.319999999999993</v>
      </c>
      <c r="AE45" s="158">
        <v>74.319999999999993</v>
      </c>
      <c r="AF45" s="155">
        <f t="shared" si="20"/>
        <v>3121.4399999999996</v>
      </c>
      <c r="AG45" s="154">
        <f t="shared" si="8"/>
        <v>76.549599999999998</v>
      </c>
      <c r="AH45" s="158">
        <f t="shared" si="8"/>
        <v>76.549599999999998</v>
      </c>
      <c r="AI45" s="155">
        <f t="shared" si="21"/>
        <v>3215.0832</v>
      </c>
      <c r="AJ45" s="154">
        <f t="shared" si="25"/>
        <v>78.846087999999995</v>
      </c>
      <c r="AK45" s="158">
        <f t="shared" si="25"/>
        <v>78.846087999999995</v>
      </c>
      <c r="AL45" s="155">
        <f t="shared" si="22"/>
        <v>3311.5356959999999</v>
      </c>
      <c r="AM45" s="372" t="s">
        <v>120</v>
      </c>
      <c r="AN45" s="394">
        <v>436.99245457000001</v>
      </c>
      <c r="AO45" s="395">
        <v>436.99245457000001</v>
      </c>
      <c r="AP45" s="396">
        <v>18353.683091940002</v>
      </c>
      <c r="AQ45" s="372" t="s">
        <v>120</v>
      </c>
      <c r="AR45" s="394">
        <f t="shared" si="10"/>
        <v>450.10222820710004</v>
      </c>
      <c r="AS45" s="395">
        <f t="shared" si="11"/>
        <v>450.10222820710004</v>
      </c>
      <c r="AT45" s="396">
        <f t="shared" si="12"/>
        <v>18904.293584698204</v>
      </c>
      <c r="AU45" s="394">
        <f t="shared" si="13"/>
        <v>463.60529505331306</v>
      </c>
      <c r="AV45" s="395">
        <f t="shared" si="14"/>
        <v>463.60529505331306</v>
      </c>
      <c r="AW45" s="396">
        <f t="shared" si="15"/>
        <v>19471.42239223915</v>
      </c>
      <c r="AX45" s="394">
        <f t="shared" si="16"/>
        <v>477.51345390491247</v>
      </c>
      <c r="AY45" s="395">
        <f t="shared" si="17"/>
        <v>477.51345390491247</v>
      </c>
      <c r="AZ45" s="396">
        <f t="shared" si="18"/>
        <v>20055.565064006325</v>
      </c>
      <c r="BA45" s="394">
        <f t="shared" si="26"/>
        <v>491.83885752205987</v>
      </c>
      <c r="BB45" s="395">
        <f t="shared" si="27"/>
        <v>491.83885752205987</v>
      </c>
      <c r="BC45" s="396">
        <f t="shared" si="28"/>
        <v>20657.232015926515</v>
      </c>
      <c r="BD45" s="394">
        <f t="shared" si="29"/>
        <v>506.59402324772168</v>
      </c>
      <c r="BE45" s="395">
        <f t="shared" si="30"/>
        <v>506.59402324772168</v>
      </c>
      <c r="BF45" s="396">
        <f t="shared" si="31"/>
        <v>21276.94897640431</v>
      </c>
      <c r="BG45" s="394">
        <f t="shared" si="5"/>
        <v>521.79184394515335</v>
      </c>
      <c r="BH45" s="395">
        <f t="shared" si="6"/>
        <v>521.79184394515335</v>
      </c>
      <c r="BI45" s="396">
        <f t="shared" si="7"/>
        <v>21915.257445696439</v>
      </c>
    </row>
    <row r="46" spans="1:61" ht="14.25">
      <c r="A46" s="159">
        <v>260</v>
      </c>
      <c r="B46" s="150" t="s">
        <v>100</v>
      </c>
      <c r="C46" s="160">
        <v>100</v>
      </c>
      <c r="D46" s="161">
        <v>100</v>
      </c>
      <c r="E46" s="162">
        <v>4200</v>
      </c>
      <c r="F46" s="174">
        <v>106.32</v>
      </c>
      <c r="G46" s="161">
        <v>106.32</v>
      </c>
      <c r="H46" s="162">
        <v>4465.4399999999996</v>
      </c>
      <c r="I46" s="164">
        <v>112.16759999999999</v>
      </c>
      <c r="J46" s="161">
        <v>112.16759999999999</v>
      </c>
      <c r="K46" s="162">
        <v>4711.0391999999993</v>
      </c>
      <c r="L46" s="164">
        <v>117.77598</v>
      </c>
      <c r="M46" s="161">
        <v>117.77598</v>
      </c>
      <c r="N46" s="162">
        <v>4946.5911599999999</v>
      </c>
      <c r="O46" s="164">
        <v>123.0758991</v>
      </c>
      <c r="P46" s="161">
        <v>123.0758991</v>
      </c>
      <c r="Q46" s="162">
        <v>5169.1877622000002</v>
      </c>
      <c r="R46" s="164">
        <v>123.0758991</v>
      </c>
      <c r="S46" s="161">
        <v>123.0758991</v>
      </c>
      <c r="T46" s="162">
        <v>5169.1877622000002</v>
      </c>
      <c r="U46" s="164">
        <v>127.99893506400001</v>
      </c>
      <c r="V46" s="161">
        <v>127.99893506400001</v>
      </c>
      <c r="W46" s="162">
        <v>5375.9552726880002</v>
      </c>
      <c r="X46" s="161">
        <v>133.11889246656003</v>
      </c>
      <c r="Y46" s="161">
        <v>133.11889246656003</v>
      </c>
      <c r="Z46" s="162">
        <v>5590.993483595521</v>
      </c>
      <c r="AA46" s="161">
        <v>139.78008708988804</v>
      </c>
      <c r="AB46" s="161">
        <v>139.78008708988804</v>
      </c>
      <c r="AC46" s="162">
        <v>5870.7636577752974</v>
      </c>
      <c r="AD46" s="161">
        <v>143.97</v>
      </c>
      <c r="AE46" s="165">
        <v>143.97</v>
      </c>
      <c r="AF46" s="162">
        <f t="shared" si="20"/>
        <v>6046.74</v>
      </c>
      <c r="AG46" s="161">
        <f t="shared" si="8"/>
        <v>148.28909999999999</v>
      </c>
      <c r="AH46" s="165">
        <f t="shared" si="8"/>
        <v>148.28909999999999</v>
      </c>
      <c r="AI46" s="162">
        <f t="shared" si="21"/>
        <v>6228.1421999999993</v>
      </c>
      <c r="AJ46" s="161">
        <f t="shared" si="25"/>
        <v>152.737773</v>
      </c>
      <c r="AK46" s="165">
        <f t="shared" si="25"/>
        <v>152.737773</v>
      </c>
      <c r="AL46" s="162">
        <f t="shared" si="22"/>
        <v>6414.9864660000003</v>
      </c>
      <c r="AM46" s="373" t="s">
        <v>97</v>
      </c>
      <c r="AN46" s="388">
        <v>81.211470640000002</v>
      </c>
      <c r="AO46" s="389">
        <v>81.211470640000002</v>
      </c>
      <c r="AP46" s="390">
        <v>3410.8817668800002</v>
      </c>
      <c r="AQ46" s="373" t="s">
        <v>97</v>
      </c>
      <c r="AR46" s="388">
        <f t="shared" si="10"/>
        <v>83.647814759200003</v>
      </c>
      <c r="AS46" s="389">
        <f t="shared" si="11"/>
        <v>83.647814759200003</v>
      </c>
      <c r="AT46" s="390">
        <f t="shared" si="12"/>
        <v>3513.2082198864005</v>
      </c>
      <c r="AU46" s="388">
        <f t="shared" si="13"/>
        <v>86.157249201976001</v>
      </c>
      <c r="AV46" s="389">
        <f t="shared" si="14"/>
        <v>86.157249201976001</v>
      </c>
      <c r="AW46" s="390">
        <f t="shared" si="15"/>
        <v>3618.6044664829924</v>
      </c>
      <c r="AX46" s="388">
        <f t="shared" si="16"/>
        <v>88.741966678035283</v>
      </c>
      <c r="AY46" s="389">
        <f t="shared" si="17"/>
        <v>88.741966678035283</v>
      </c>
      <c r="AZ46" s="390">
        <f t="shared" si="18"/>
        <v>3727.1626004774821</v>
      </c>
      <c r="BA46" s="388">
        <f t="shared" si="26"/>
        <v>91.404225678376349</v>
      </c>
      <c r="BB46" s="389">
        <f t="shared" si="27"/>
        <v>91.404225678376349</v>
      </c>
      <c r="BC46" s="390">
        <f t="shared" si="28"/>
        <v>3838.9774784918068</v>
      </c>
      <c r="BD46" s="388">
        <f t="shared" si="29"/>
        <v>94.14635244872764</v>
      </c>
      <c r="BE46" s="389">
        <f t="shared" si="30"/>
        <v>94.14635244872764</v>
      </c>
      <c r="BF46" s="390">
        <f t="shared" si="31"/>
        <v>3954.1468028465611</v>
      </c>
      <c r="BG46" s="388">
        <f t="shared" si="5"/>
        <v>96.970743022189467</v>
      </c>
      <c r="BH46" s="389">
        <f t="shared" si="6"/>
        <v>96.970743022189467</v>
      </c>
      <c r="BI46" s="390">
        <f t="shared" si="7"/>
        <v>4072.7712069319582</v>
      </c>
    </row>
    <row r="47" spans="1:61" ht="14.25">
      <c r="A47" s="166">
        <v>231</v>
      </c>
      <c r="B47" s="151" t="s">
        <v>102</v>
      </c>
      <c r="C47" s="167">
        <v>22.089552238805972</v>
      </c>
      <c r="D47" s="168">
        <v>122.09</v>
      </c>
      <c r="E47" s="169">
        <v>5127.78</v>
      </c>
      <c r="F47" s="167">
        <v>22.089552238805972</v>
      </c>
      <c r="G47" s="168">
        <v>128.40955223880596</v>
      </c>
      <c r="H47" s="169">
        <v>5393.2011940298498</v>
      </c>
      <c r="I47" s="167">
        <v>23.3044776119403</v>
      </c>
      <c r="J47" s="168">
        <v>135.47207761194028</v>
      </c>
      <c r="K47" s="169">
        <v>5689.827259701492</v>
      </c>
      <c r="L47" s="167">
        <v>24.469701492537315</v>
      </c>
      <c r="M47" s="168">
        <v>142.24568149253733</v>
      </c>
      <c r="N47" s="169">
        <v>5974.3186226865682</v>
      </c>
      <c r="O47" s="167">
        <v>25.570838059701494</v>
      </c>
      <c r="P47" s="168">
        <v>148.6467371597015</v>
      </c>
      <c r="Q47" s="169">
        <v>6243.1629607074628</v>
      </c>
      <c r="R47" s="167">
        <v>25.570838059701494</v>
      </c>
      <c r="S47" s="168">
        <v>148.6467371597015</v>
      </c>
      <c r="T47" s="169">
        <v>6243.1629607074628</v>
      </c>
      <c r="U47" s="167">
        <v>26.593671582089556</v>
      </c>
      <c r="V47" s="168">
        <v>154.59260664608956</v>
      </c>
      <c r="W47" s="169">
        <v>6492.8894791357616</v>
      </c>
      <c r="X47" s="168">
        <v>27.647418445373138</v>
      </c>
      <c r="Y47" s="168">
        <v>160.76631091193318</v>
      </c>
      <c r="Z47" s="169">
        <v>6752.1850583011937</v>
      </c>
      <c r="AA47" s="168">
        <v>29.029789367641797</v>
      </c>
      <c r="AB47" s="168">
        <v>168.80987645752984</v>
      </c>
      <c r="AC47" s="169">
        <v>7090.0148112162533</v>
      </c>
      <c r="AD47" s="168">
        <v>29.9</v>
      </c>
      <c r="AE47" s="165">
        <v>173.87</v>
      </c>
      <c r="AF47" s="169">
        <f t="shared" si="20"/>
        <v>7302.54</v>
      </c>
      <c r="AG47" s="168">
        <f t="shared" si="8"/>
        <v>30.797000000000001</v>
      </c>
      <c r="AH47" s="165">
        <f t="shared" si="8"/>
        <v>179.08610000000002</v>
      </c>
      <c r="AI47" s="169">
        <f t="shared" si="21"/>
        <v>7521.6162000000004</v>
      </c>
      <c r="AJ47" s="168">
        <f t="shared" si="25"/>
        <v>31.72091</v>
      </c>
      <c r="AK47" s="165">
        <f t="shared" si="25"/>
        <v>184.45868300000001</v>
      </c>
      <c r="AL47" s="169">
        <f t="shared" si="22"/>
        <v>7747.2646860000004</v>
      </c>
      <c r="AM47" s="373" t="s">
        <v>100</v>
      </c>
      <c r="AN47" s="391">
        <v>157.31990619000001</v>
      </c>
      <c r="AO47" s="392">
        <v>157.31990619000001</v>
      </c>
      <c r="AP47" s="393">
        <v>6607.4360599800002</v>
      </c>
      <c r="AQ47" s="373" t="s">
        <v>100</v>
      </c>
      <c r="AR47" s="391">
        <f t="shared" si="10"/>
        <v>162.03950337570001</v>
      </c>
      <c r="AS47" s="392">
        <f t="shared" si="11"/>
        <v>162.03950337570001</v>
      </c>
      <c r="AT47" s="393">
        <f t="shared" si="12"/>
        <v>6805.6591417794007</v>
      </c>
      <c r="AU47" s="391">
        <f t="shared" si="13"/>
        <v>166.900688476971</v>
      </c>
      <c r="AV47" s="392">
        <f t="shared" si="14"/>
        <v>166.900688476971</v>
      </c>
      <c r="AW47" s="393">
        <f t="shared" si="15"/>
        <v>7009.8289160327831</v>
      </c>
      <c r="AX47" s="391">
        <f t="shared" si="16"/>
        <v>171.90770913128014</v>
      </c>
      <c r="AY47" s="392">
        <f t="shared" si="17"/>
        <v>171.90770913128014</v>
      </c>
      <c r="AZ47" s="393">
        <f t="shared" si="18"/>
        <v>7220.1237835137672</v>
      </c>
      <c r="BA47" s="391">
        <f t="shared" si="26"/>
        <v>177.06494040521855</v>
      </c>
      <c r="BB47" s="392">
        <f t="shared" si="27"/>
        <v>177.06494040521855</v>
      </c>
      <c r="BC47" s="393">
        <f t="shared" si="28"/>
        <v>7436.7274970191802</v>
      </c>
      <c r="BD47" s="391">
        <f t="shared" si="29"/>
        <v>182.3768886173751</v>
      </c>
      <c r="BE47" s="392">
        <f t="shared" si="30"/>
        <v>182.3768886173751</v>
      </c>
      <c r="BF47" s="393">
        <f t="shared" si="31"/>
        <v>7659.8293219297557</v>
      </c>
      <c r="BG47" s="391">
        <f t="shared" si="5"/>
        <v>187.84819527589636</v>
      </c>
      <c r="BH47" s="392">
        <f t="shared" si="6"/>
        <v>187.84819527589636</v>
      </c>
      <c r="BI47" s="393">
        <f t="shared" si="7"/>
        <v>7889.6242015876487</v>
      </c>
    </row>
    <row r="48" spans="1:61" ht="14.25">
      <c r="A48" s="159">
        <v>221</v>
      </c>
      <c r="B48" s="150" t="s">
        <v>103</v>
      </c>
      <c r="C48" s="160">
        <v>40</v>
      </c>
      <c r="D48" s="161">
        <v>140</v>
      </c>
      <c r="E48" s="162">
        <v>5880</v>
      </c>
      <c r="F48" s="174">
        <v>40</v>
      </c>
      <c r="G48" s="161">
        <v>146.32</v>
      </c>
      <c r="H48" s="162">
        <v>6145.44</v>
      </c>
      <c r="I48" s="164">
        <v>42.2</v>
      </c>
      <c r="J48" s="161">
        <v>154.36759999999998</v>
      </c>
      <c r="K48" s="162">
        <v>6483.4391999999989</v>
      </c>
      <c r="L48" s="164">
        <v>44.31</v>
      </c>
      <c r="M48" s="161">
        <v>162.08598000000001</v>
      </c>
      <c r="N48" s="162">
        <v>6807.6111600000004</v>
      </c>
      <c r="O48" s="164">
        <v>46.30395</v>
      </c>
      <c r="P48" s="161">
        <v>169.3798491</v>
      </c>
      <c r="Q48" s="162">
        <v>7113.9536621999996</v>
      </c>
      <c r="R48" s="164">
        <v>46.30395</v>
      </c>
      <c r="S48" s="161">
        <v>169.3798491</v>
      </c>
      <c r="T48" s="162">
        <v>7113.9536621999996</v>
      </c>
      <c r="U48" s="164">
        <v>48.156108000000003</v>
      </c>
      <c r="V48" s="161">
        <v>176.15504306400001</v>
      </c>
      <c r="W48" s="162">
        <v>7398.5118086880002</v>
      </c>
      <c r="X48" s="161">
        <v>50.092352320000003</v>
      </c>
      <c r="Y48" s="161">
        <v>183.21124478656003</v>
      </c>
      <c r="Z48" s="162">
        <v>7694.8722810355212</v>
      </c>
      <c r="AA48" s="161">
        <v>52.58696993600001</v>
      </c>
      <c r="AB48" s="161">
        <v>192.36705702588804</v>
      </c>
      <c r="AC48" s="162">
        <v>8079.416395087298</v>
      </c>
      <c r="AD48" s="161">
        <v>54.17</v>
      </c>
      <c r="AE48" s="165">
        <v>198.14</v>
      </c>
      <c r="AF48" s="162">
        <f t="shared" si="20"/>
        <v>8321.8799999999992</v>
      </c>
      <c r="AG48" s="161">
        <f>AD48*(1+$AI$2)-0.01</f>
        <v>55.785100000000007</v>
      </c>
      <c r="AH48" s="165">
        <f>AE48*(1+$AI$2)</f>
        <v>204.08419999999998</v>
      </c>
      <c r="AI48" s="162">
        <f t="shared" si="21"/>
        <v>8571.536399999999</v>
      </c>
      <c r="AJ48" s="161">
        <f>AG48*(1+$AI$2)-0.01</f>
        <v>57.448653000000007</v>
      </c>
      <c r="AK48" s="165">
        <f>AH48*(1+$AI$2)-0.02</f>
        <v>210.18672599999996</v>
      </c>
      <c r="AL48" s="162">
        <f t="shared" si="22"/>
        <v>8827.8424919999979</v>
      </c>
      <c r="AM48" s="373" t="s">
        <v>102</v>
      </c>
      <c r="AN48" s="391">
        <v>32.672537300000002</v>
      </c>
      <c r="AO48" s="392">
        <v>189.99244349</v>
      </c>
      <c r="AP48" s="393">
        <v>7979.6826265800009</v>
      </c>
      <c r="AQ48" s="373" t="s">
        <v>102</v>
      </c>
      <c r="AR48" s="391">
        <f t="shared" si="10"/>
        <v>33.652713419000001</v>
      </c>
      <c r="AS48" s="392">
        <f t="shared" si="11"/>
        <v>195.69221679470002</v>
      </c>
      <c r="AT48" s="393">
        <f t="shared" si="12"/>
        <v>8219.0731053774016</v>
      </c>
      <c r="AU48" s="391">
        <f t="shared" si="13"/>
        <v>34.662294821570001</v>
      </c>
      <c r="AV48" s="392">
        <f t="shared" si="14"/>
        <v>201.56298329854101</v>
      </c>
      <c r="AW48" s="393">
        <f t="shared" si="15"/>
        <v>8465.6452985387241</v>
      </c>
      <c r="AX48" s="391">
        <f t="shared" si="16"/>
        <v>35.702163666217103</v>
      </c>
      <c r="AY48" s="392">
        <f t="shared" si="17"/>
        <v>207.60987279749725</v>
      </c>
      <c r="AZ48" s="393">
        <f t="shared" si="18"/>
        <v>8719.6146574948853</v>
      </c>
      <c r="BA48" s="391">
        <f t="shared" si="26"/>
        <v>36.773228576203614</v>
      </c>
      <c r="BB48" s="392">
        <f t="shared" si="27"/>
        <v>213.83816898142217</v>
      </c>
      <c r="BC48" s="393">
        <f t="shared" si="28"/>
        <v>8981.2030972197317</v>
      </c>
      <c r="BD48" s="391">
        <f t="shared" si="29"/>
        <v>37.876425433489722</v>
      </c>
      <c r="BE48" s="392">
        <f t="shared" si="30"/>
        <v>220.25331405086484</v>
      </c>
      <c r="BF48" s="393">
        <f t="shared" si="31"/>
        <v>9250.639190136324</v>
      </c>
      <c r="BG48" s="391">
        <f t="shared" si="5"/>
        <v>39.012718196494411</v>
      </c>
      <c r="BH48" s="392">
        <f t="shared" si="6"/>
        <v>226.86091347239079</v>
      </c>
      <c r="BI48" s="393">
        <f t="shared" si="7"/>
        <v>9528.1583658404143</v>
      </c>
    </row>
    <row r="49" spans="1:61" ht="14.25">
      <c r="A49" s="159">
        <v>245</v>
      </c>
      <c r="B49" s="150" t="s">
        <v>121</v>
      </c>
      <c r="C49" s="160">
        <v>70</v>
      </c>
      <c r="D49" s="161">
        <v>210</v>
      </c>
      <c r="E49" s="162">
        <v>8820</v>
      </c>
      <c r="F49" s="174">
        <v>84</v>
      </c>
      <c r="G49" s="161">
        <v>230.32</v>
      </c>
      <c r="H49" s="162">
        <v>9673.44</v>
      </c>
      <c r="I49" s="164">
        <v>88.62</v>
      </c>
      <c r="J49" s="161">
        <v>242.98759999999999</v>
      </c>
      <c r="K49" s="162">
        <v>10205.4792</v>
      </c>
      <c r="L49" s="164">
        <v>93.051000000000002</v>
      </c>
      <c r="M49" s="161">
        <v>255.13697999999999</v>
      </c>
      <c r="N49" s="162">
        <v>10715.75316</v>
      </c>
      <c r="O49" s="164">
        <v>97.238294999999994</v>
      </c>
      <c r="P49" s="161">
        <v>266.61814409999999</v>
      </c>
      <c r="Q49" s="162">
        <v>11197.9620522</v>
      </c>
      <c r="R49" s="164">
        <v>97.238294999999994</v>
      </c>
      <c r="S49" s="161">
        <v>266.61814409999999</v>
      </c>
      <c r="T49" s="162">
        <v>11197.9620522</v>
      </c>
      <c r="U49" s="164">
        <v>101.11782679999999</v>
      </c>
      <c r="V49" s="161">
        <v>277.27286986399997</v>
      </c>
      <c r="W49" s="162">
        <v>11645.460534287999</v>
      </c>
      <c r="X49" s="161">
        <v>105.15253987199999</v>
      </c>
      <c r="Y49" s="161">
        <v>288.36378465856001</v>
      </c>
      <c r="Z49" s="162">
        <v>12111.27895565952</v>
      </c>
      <c r="AA49" s="161">
        <v>110.41016686559999</v>
      </c>
      <c r="AB49" s="161">
        <v>302.77722389148801</v>
      </c>
      <c r="AC49" s="162">
        <v>12716.643403442496</v>
      </c>
      <c r="AD49" s="161">
        <v>113.72</v>
      </c>
      <c r="AE49" s="165">
        <v>311.86</v>
      </c>
      <c r="AF49" s="162">
        <f t="shared" si="20"/>
        <v>13098.12</v>
      </c>
      <c r="AG49" s="161">
        <f>AD49*(1+$AI$2)+0.01</f>
        <v>117.14160000000001</v>
      </c>
      <c r="AH49" s="165">
        <f>AH48+AG49</f>
        <v>321.22579999999999</v>
      </c>
      <c r="AI49" s="162">
        <f t="shared" si="21"/>
        <v>13491.4836</v>
      </c>
      <c r="AJ49" s="161">
        <f>AG49*(1+$AI$2)+0.02</f>
        <v>120.67584800000002</v>
      </c>
      <c r="AK49" s="165">
        <f>AK48+AJ49</f>
        <v>330.862574</v>
      </c>
      <c r="AL49" s="162">
        <f t="shared" si="22"/>
        <v>13896.228107999999</v>
      </c>
      <c r="AM49" s="373" t="s">
        <v>103</v>
      </c>
      <c r="AN49" s="391">
        <v>59.172112590000012</v>
      </c>
      <c r="AO49" s="392">
        <v>216.49232777999998</v>
      </c>
      <c r="AP49" s="393">
        <v>9092.6777667599981</v>
      </c>
      <c r="AQ49" s="373" t="s">
        <v>103</v>
      </c>
      <c r="AR49" s="391">
        <f t="shared" si="10"/>
        <v>60.947275967700016</v>
      </c>
      <c r="AS49" s="392">
        <f t="shared" si="11"/>
        <v>222.98709761339998</v>
      </c>
      <c r="AT49" s="393">
        <f t="shared" si="12"/>
        <v>9365.4580997627982</v>
      </c>
      <c r="AU49" s="391">
        <f t="shared" si="13"/>
        <v>62.775694246731021</v>
      </c>
      <c r="AV49" s="392">
        <f t="shared" si="14"/>
        <v>229.67671054180198</v>
      </c>
      <c r="AW49" s="393">
        <f t="shared" si="15"/>
        <v>9646.4218427556825</v>
      </c>
      <c r="AX49" s="391">
        <f t="shared" si="16"/>
        <v>64.658965074132951</v>
      </c>
      <c r="AY49" s="392">
        <f t="shared" si="17"/>
        <v>236.56701185805605</v>
      </c>
      <c r="AZ49" s="393">
        <f t="shared" si="18"/>
        <v>9935.8144980383531</v>
      </c>
      <c r="BA49" s="391">
        <f t="shared" si="26"/>
        <v>66.598734026356937</v>
      </c>
      <c r="BB49" s="392">
        <f t="shared" si="27"/>
        <v>243.66402221379775</v>
      </c>
      <c r="BC49" s="393">
        <f t="shared" si="28"/>
        <v>10233.888932979504</v>
      </c>
      <c r="BD49" s="391">
        <f t="shared" si="29"/>
        <v>68.596696047147645</v>
      </c>
      <c r="BE49" s="392">
        <f t="shared" si="30"/>
        <v>250.97394288021169</v>
      </c>
      <c r="BF49" s="393">
        <f t="shared" si="31"/>
        <v>10540.905600968888</v>
      </c>
      <c r="BG49" s="391">
        <f t="shared" si="5"/>
        <v>70.654596928562071</v>
      </c>
      <c r="BH49" s="392">
        <f t="shared" si="6"/>
        <v>258.50316116661804</v>
      </c>
      <c r="BI49" s="393">
        <f t="shared" si="7"/>
        <v>10857.132768997955</v>
      </c>
    </row>
    <row r="50" spans="1:61" ht="15" thickBot="1">
      <c r="A50" s="206">
        <v>251</v>
      </c>
      <c r="B50" s="226" t="s">
        <v>122</v>
      </c>
      <c r="C50" s="208">
        <v>70</v>
      </c>
      <c r="D50" s="209">
        <v>162.09</v>
      </c>
      <c r="E50" s="210">
        <v>6807.78</v>
      </c>
      <c r="F50" s="211">
        <v>84</v>
      </c>
      <c r="G50" s="209">
        <v>230.32</v>
      </c>
      <c r="H50" s="210">
        <v>9673.44</v>
      </c>
      <c r="I50" s="216">
        <v>88.62</v>
      </c>
      <c r="J50" s="209">
        <v>242.98759999999999</v>
      </c>
      <c r="K50" s="210">
        <v>10205.4792</v>
      </c>
      <c r="L50" s="216">
        <v>93.051000000000002</v>
      </c>
      <c r="M50" s="209">
        <v>255.13697999999999</v>
      </c>
      <c r="N50" s="210">
        <v>10715.75316</v>
      </c>
      <c r="O50" s="216">
        <v>97.238294999999994</v>
      </c>
      <c r="P50" s="209">
        <v>266.61814409999999</v>
      </c>
      <c r="Q50" s="210">
        <v>11197.9620522</v>
      </c>
      <c r="R50" s="216">
        <v>97.238294999999994</v>
      </c>
      <c r="S50" s="209">
        <v>266.61814409999999</v>
      </c>
      <c r="T50" s="210">
        <v>11197.9620522</v>
      </c>
      <c r="U50" s="216">
        <v>101.11782679999999</v>
      </c>
      <c r="V50" s="209">
        <v>277.27286986399997</v>
      </c>
      <c r="W50" s="210">
        <v>11645.460534287999</v>
      </c>
      <c r="X50" s="209">
        <v>105.15253987199999</v>
      </c>
      <c r="Y50" s="209">
        <v>288.36378465856001</v>
      </c>
      <c r="Z50" s="210">
        <v>12111.27895565952</v>
      </c>
      <c r="AA50" s="209">
        <v>110.41016686559999</v>
      </c>
      <c r="AB50" s="209">
        <v>302.77722389148801</v>
      </c>
      <c r="AC50" s="210">
        <v>12716.643403442496</v>
      </c>
      <c r="AD50" s="209">
        <v>113.72</v>
      </c>
      <c r="AE50" s="212">
        <v>311.86</v>
      </c>
      <c r="AF50" s="210">
        <f t="shared" si="20"/>
        <v>13098.12</v>
      </c>
      <c r="AG50" s="209">
        <f>AD50*(1+$AI$2)+0.01</f>
        <v>117.14160000000001</v>
      </c>
      <c r="AH50" s="212">
        <f>AH48+AG50</f>
        <v>321.22579999999999</v>
      </c>
      <c r="AI50" s="210">
        <f t="shared" si="21"/>
        <v>13491.4836</v>
      </c>
      <c r="AJ50" s="209">
        <f>AG50*(1+$AI$2)+0.02</f>
        <v>120.67584800000002</v>
      </c>
      <c r="AK50" s="212">
        <f>AK48+AJ50</f>
        <v>330.862574</v>
      </c>
      <c r="AL50" s="210">
        <f t="shared" si="22"/>
        <v>13896.228107999999</v>
      </c>
      <c r="AM50" s="373" t="s">
        <v>121</v>
      </c>
      <c r="AN50" s="391">
        <v>124.29612344000002</v>
      </c>
      <c r="AO50" s="392">
        <v>340.78845122000001</v>
      </c>
      <c r="AP50" s="393">
        <v>14313.114951239999</v>
      </c>
      <c r="AQ50" s="373" t="s">
        <v>121</v>
      </c>
      <c r="AR50" s="391">
        <f t="shared" si="10"/>
        <v>128.02500714320001</v>
      </c>
      <c r="AS50" s="392">
        <f t="shared" si="11"/>
        <v>351.01210475660002</v>
      </c>
      <c r="AT50" s="393">
        <f t="shared" si="12"/>
        <v>14742.5083997772</v>
      </c>
      <c r="AU50" s="391">
        <f t="shared" si="13"/>
        <v>131.86575735749602</v>
      </c>
      <c r="AV50" s="392">
        <f t="shared" si="14"/>
        <v>361.54246789929806</v>
      </c>
      <c r="AW50" s="393">
        <f t="shared" si="15"/>
        <v>15184.783651770516</v>
      </c>
      <c r="AX50" s="391">
        <f t="shared" si="16"/>
        <v>135.8217300782209</v>
      </c>
      <c r="AY50" s="392">
        <f t="shared" si="17"/>
        <v>372.38874193627703</v>
      </c>
      <c r="AZ50" s="393">
        <f t="shared" si="18"/>
        <v>15640.327161323632</v>
      </c>
      <c r="BA50" s="391">
        <f t="shared" si="26"/>
        <v>139.89638198056753</v>
      </c>
      <c r="BB50" s="392">
        <f t="shared" si="27"/>
        <v>383.56040419436533</v>
      </c>
      <c r="BC50" s="393">
        <f t="shared" si="28"/>
        <v>16109.536976163341</v>
      </c>
      <c r="BD50" s="391">
        <f t="shared" si="29"/>
        <v>144.09327343998456</v>
      </c>
      <c r="BE50" s="392">
        <f t="shared" si="30"/>
        <v>395.06721632019628</v>
      </c>
      <c r="BF50" s="393">
        <f t="shared" si="31"/>
        <v>16592.823085448243</v>
      </c>
      <c r="BG50" s="391">
        <f t="shared" si="5"/>
        <v>148.4160716431841</v>
      </c>
      <c r="BH50" s="392">
        <f t="shared" si="6"/>
        <v>406.91923280980217</v>
      </c>
      <c r="BI50" s="393">
        <f t="shared" si="7"/>
        <v>17090.60777801169</v>
      </c>
    </row>
    <row r="51" spans="1:61" ht="15" thickBot="1">
      <c r="A51" s="152">
        <v>210</v>
      </c>
      <c r="B51" s="149" t="s">
        <v>97</v>
      </c>
      <c r="C51" s="153">
        <v>15</v>
      </c>
      <c r="D51" s="154">
        <v>15</v>
      </c>
      <c r="E51" s="155">
        <v>630</v>
      </c>
      <c r="F51" s="156">
        <v>35.32</v>
      </c>
      <c r="G51" s="154">
        <v>35.32</v>
      </c>
      <c r="H51" s="155">
        <v>1483.44</v>
      </c>
      <c r="I51" s="157">
        <v>37.262599999999999</v>
      </c>
      <c r="J51" s="154">
        <v>37.262599999999999</v>
      </c>
      <c r="K51" s="155">
        <v>1565.0291999999999</v>
      </c>
      <c r="L51" s="157">
        <v>39.125729999999997</v>
      </c>
      <c r="M51" s="154">
        <v>39.125729999999997</v>
      </c>
      <c r="N51" s="155">
        <v>1643.2806599999999</v>
      </c>
      <c r="O51" s="157">
        <v>40.886387849999991</v>
      </c>
      <c r="P51" s="154">
        <v>40.886387849999991</v>
      </c>
      <c r="Q51" s="155">
        <v>1717.2282896999996</v>
      </c>
      <c r="R51" s="154">
        <v>63.55</v>
      </c>
      <c r="S51" s="154">
        <v>63.55</v>
      </c>
      <c r="T51" s="154">
        <v>2669.1</v>
      </c>
      <c r="U51" s="157">
        <v>66.091999999999999</v>
      </c>
      <c r="V51" s="154">
        <v>66.091999999999999</v>
      </c>
      <c r="W51" s="155">
        <v>2775.864</v>
      </c>
      <c r="X51" s="154">
        <v>68.725679999999997</v>
      </c>
      <c r="Y51" s="154">
        <v>68.725679999999997</v>
      </c>
      <c r="Z51" s="154">
        <v>2886.47856</v>
      </c>
      <c r="AA51" s="157">
        <v>72.161963999999998</v>
      </c>
      <c r="AB51" s="154">
        <v>72.161963999999998</v>
      </c>
      <c r="AC51" s="155">
        <v>3030.8024879999998</v>
      </c>
      <c r="AD51" s="157">
        <v>74.319999999999993</v>
      </c>
      <c r="AE51" s="158">
        <v>74.319999999999993</v>
      </c>
      <c r="AF51" s="155">
        <f t="shared" si="20"/>
        <v>3121.4399999999996</v>
      </c>
      <c r="AG51" s="154">
        <f t="shared" ref="AG51:AH54" si="32">AD51*(1+$AI$2)</f>
        <v>76.549599999999998</v>
      </c>
      <c r="AH51" s="158">
        <f t="shared" si="32"/>
        <v>76.549599999999998</v>
      </c>
      <c r="AI51" s="155">
        <f t="shared" si="21"/>
        <v>3215.0832</v>
      </c>
      <c r="AJ51" s="154">
        <f t="shared" ref="AJ51:AK53" si="33">AG51*(1+$AI$2)</f>
        <v>78.846087999999995</v>
      </c>
      <c r="AK51" s="158">
        <f t="shared" si="33"/>
        <v>78.846087999999995</v>
      </c>
      <c r="AL51" s="155">
        <f t="shared" si="22"/>
        <v>3311.5356959999999</v>
      </c>
      <c r="AM51" s="372" t="s">
        <v>122</v>
      </c>
      <c r="AN51" s="394">
        <v>124.29612344000002</v>
      </c>
      <c r="AO51" s="397">
        <v>340.78845122000001</v>
      </c>
      <c r="AP51" s="396">
        <v>14313.114951239999</v>
      </c>
      <c r="AQ51" s="372" t="s">
        <v>122</v>
      </c>
      <c r="AR51" s="394">
        <f t="shared" si="10"/>
        <v>128.02500714320001</v>
      </c>
      <c r="AS51" s="397">
        <f t="shared" si="11"/>
        <v>351.01210475660002</v>
      </c>
      <c r="AT51" s="396">
        <f t="shared" si="12"/>
        <v>14742.5083997772</v>
      </c>
      <c r="AU51" s="394">
        <f t="shared" si="13"/>
        <v>131.86575735749602</v>
      </c>
      <c r="AV51" s="397">
        <f t="shared" si="14"/>
        <v>361.54246789929806</v>
      </c>
      <c r="AW51" s="396">
        <f t="shared" si="15"/>
        <v>15184.783651770516</v>
      </c>
      <c r="AX51" s="394">
        <f t="shared" si="16"/>
        <v>135.8217300782209</v>
      </c>
      <c r="AY51" s="397">
        <f t="shared" si="17"/>
        <v>372.38874193627703</v>
      </c>
      <c r="AZ51" s="396">
        <f t="shared" si="18"/>
        <v>15640.327161323632</v>
      </c>
      <c r="BA51" s="394">
        <f t="shared" si="26"/>
        <v>139.89638198056753</v>
      </c>
      <c r="BB51" s="397">
        <f t="shared" si="27"/>
        <v>383.56040419436533</v>
      </c>
      <c r="BC51" s="396">
        <f t="shared" si="28"/>
        <v>16109.536976163341</v>
      </c>
      <c r="BD51" s="394">
        <f t="shared" si="29"/>
        <v>144.09327343998456</v>
      </c>
      <c r="BE51" s="397">
        <f t="shared" si="30"/>
        <v>395.06721632019628</v>
      </c>
      <c r="BF51" s="396">
        <f t="shared" si="31"/>
        <v>16592.823085448243</v>
      </c>
      <c r="BG51" s="394">
        <f t="shared" si="5"/>
        <v>148.4160716431841</v>
      </c>
      <c r="BH51" s="397">
        <f t="shared" si="6"/>
        <v>406.91923280980217</v>
      </c>
      <c r="BI51" s="396">
        <f t="shared" si="7"/>
        <v>17090.60777801169</v>
      </c>
    </row>
    <row r="52" spans="1:61" ht="14.25">
      <c r="A52" s="159">
        <v>260</v>
      </c>
      <c r="B52" s="150" t="s">
        <v>100</v>
      </c>
      <c r="C52" s="160">
        <v>100</v>
      </c>
      <c r="D52" s="161">
        <v>100</v>
      </c>
      <c r="E52" s="162">
        <v>4200</v>
      </c>
      <c r="F52" s="163">
        <v>106.32</v>
      </c>
      <c r="G52" s="161">
        <v>106.32</v>
      </c>
      <c r="H52" s="162">
        <v>4465.4399999999996</v>
      </c>
      <c r="I52" s="164">
        <v>112.16759999999999</v>
      </c>
      <c r="J52" s="161">
        <v>112.16759999999999</v>
      </c>
      <c r="K52" s="162">
        <v>4711.0391999999993</v>
      </c>
      <c r="L52" s="164">
        <v>117.77598</v>
      </c>
      <c r="M52" s="161">
        <v>117.77598</v>
      </c>
      <c r="N52" s="162">
        <v>4946.5911599999999</v>
      </c>
      <c r="O52" s="164">
        <v>123.0758991</v>
      </c>
      <c r="P52" s="161">
        <v>123.0758991</v>
      </c>
      <c r="Q52" s="162">
        <v>5169.1877622000002</v>
      </c>
      <c r="R52" s="161">
        <v>123.0758991</v>
      </c>
      <c r="S52" s="161">
        <v>123.0758991</v>
      </c>
      <c r="T52" s="161">
        <v>5169.1877622000002</v>
      </c>
      <c r="U52" s="164">
        <v>127.99893506400001</v>
      </c>
      <c r="V52" s="161">
        <v>127.99893506400001</v>
      </c>
      <c r="W52" s="162">
        <v>5375.9552726880002</v>
      </c>
      <c r="X52" s="161">
        <v>133.11889246656003</v>
      </c>
      <c r="Y52" s="161">
        <v>133.11889246656003</v>
      </c>
      <c r="Z52" s="161">
        <v>5590.993483595521</v>
      </c>
      <c r="AA52" s="164">
        <v>139.78008708988804</v>
      </c>
      <c r="AB52" s="161">
        <v>139.78008708988804</v>
      </c>
      <c r="AC52" s="162">
        <v>5870.7636577752974</v>
      </c>
      <c r="AD52" s="164">
        <v>143.97</v>
      </c>
      <c r="AE52" s="165">
        <v>143.97</v>
      </c>
      <c r="AF52" s="162">
        <f t="shared" si="20"/>
        <v>6046.74</v>
      </c>
      <c r="AG52" s="161">
        <f t="shared" si="32"/>
        <v>148.28909999999999</v>
      </c>
      <c r="AH52" s="165">
        <f t="shared" si="32"/>
        <v>148.28909999999999</v>
      </c>
      <c r="AI52" s="162">
        <f t="shared" si="21"/>
        <v>6228.1421999999993</v>
      </c>
      <c r="AJ52" s="161">
        <f t="shared" si="33"/>
        <v>152.737773</v>
      </c>
      <c r="AK52" s="165">
        <f t="shared" si="33"/>
        <v>152.737773</v>
      </c>
      <c r="AL52" s="162">
        <f t="shared" si="22"/>
        <v>6414.9864660000003</v>
      </c>
      <c r="AM52" s="376" t="s">
        <v>97</v>
      </c>
      <c r="AN52" s="388">
        <v>81.211470640000002</v>
      </c>
      <c r="AO52" s="389">
        <v>81.211470640000002</v>
      </c>
      <c r="AP52" s="390">
        <v>3410.8817668800002</v>
      </c>
      <c r="AQ52" s="376" t="s">
        <v>97</v>
      </c>
      <c r="AR52" s="388">
        <f t="shared" si="10"/>
        <v>83.647814759200003</v>
      </c>
      <c r="AS52" s="389">
        <f t="shared" si="11"/>
        <v>83.647814759200003</v>
      </c>
      <c r="AT52" s="390">
        <f t="shared" si="12"/>
        <v>3513.2082198864005</v>
      </c>
      <c r="AU52" s="388">
        <f t="shared" si="13"/>
        <v>86.157249201976001</v>
      </c>
      <c r="AV52" s="389">
        <f t="shared" si="14"/>
        <v>86.157249201976001</v>
      </c>
      <c r="AW52" s="390">
        <f t="shared" si="15"/>
        <v>3618.6044664829924</v>
      </c>
      <c r="AX52" s="388">
        <f t="shared" si="16"/>
        <v>88.741966678035283</v>
      </c>
      <c r="AY52" s="389">
        <f t="shared" si="17"/>
        <v>88.741966678035283</v>
      </c>
      <c r="AZ52" s="390">
        <f t="shared" si="18"/>
        <v>3727.1626004774821</v>
      </c>
      <c r="BA52" s="388">
        <f t="shared" si="26"/>
        <v>91.404225678376349</v>
      </c>
      <c r="BB52" s="389">
        <f t="shared" si="27"/>
        <v>91.404225678376349</v>
      </c>
      <c r="BC52" s="390">
        <f t="shared" si="28"/>
        <v>3838.9774784918068</v>
      </c>
      <c r="BD52" s="388">
        <f t="shared" si="29"/>
        <v>94.14635244872764</v>
      </c>
      <c r="BE52" s="389">
        <f t="shared" si="30"/>
        <v>94.14635244872764</v>
      </c>
      <c r="BF52" s="390">
        <f t="shared" si="31"/>
        <v>3954.1468028465611</v>
      </c>
      <c r="BG52" s="388">
        <f t="shared" si="5"/>
        <v>96.970743022189467</v>
      </c>
      <c r="BH52" s="389">
        <f t="shared" si="6"/>
        <v>96.970743022189467</v>
      </c>
      <c r="BI52" s="390">
        <f t="shared" si="7"/>
        <v>4072.7712069319582</v>
      </c>
    </row>
    <row r="53" spans="1:61" ht="14.25">
      <c r="A53" s="166">
        <v>231</v>
      </c>
      <c r="B53" s="151" t="s">
        <v>102</v>
      </c>
      <c r="C53" s="167">
        <v>22.089552238805972</v>
      </c>
      <c r="D53" s="168">
        <v>122.09</v>
      </c>
      <c r="E53" s="169">
        <v>5127.78</v>
      </c>
      <c r="F53" s="167">
        <v>22.089552238805972</v>
      </c>
      <c r="G53" s="168">
        <v>128.40955223880596</v>
      </c>
      <c r="H53" s="169">
        <v>5393.2011940298498</v>
      </c>
      <c r="I53" s="167">
        <v>23.3044776119403</v>
      </c>
      <c r="J53" s="168">
        <v>135.47207761194028</v>
      </c>
      <c r="K53" s="169">
        <v>5689.827259701492</v>
      </c>
      <c r="L53" s="167">
        <v>24.469701492537315</v>
      </c>
      <c r="M53" s="168">
        <v>142.24568149253733</v>
      </c>
      <c r="N53" s="169">
        <v>5974.3186226865682</v>
      </c>
      <c r="O53" s="167">
        <v>25.570838059701494</v>
      </c>
      <c r="P53" s="168">
        <v>148.6467371597015</v>
      </c>
      <c r="Q53" s="169">
        <v>6243.1629607074628</v>
      </c>
      <c r="R53" s="168">
        <v>25.570838059701494</v>
      </c>
      <c r="S53" s="168">
        <v>148.6467371597015</v>
      </c>
      <c r="T53" s="168">
        <v>6243.1629607074628</v>
      </c>
      <c r="U53" s="167">
        <v>26.593671582089556</v>
      </c>
      <c r="V53" s="168">
        <v>154.59260664608956</v>
      </c>
      <c r="W53" s="169">
        <v>6492.8894791357616</v>
      </c>
      <c r="X53" s="168">
        <v>27.647418445373138</v>
      </c>
      <c r="Y53" s="168">
        <v>160.76631091193318</v>
      </c>
      <c r="Z53" s="168">
        <v>6752.1850583011937</v>
      </c>
      <c r="AA53" s="167">
        <v>29.029789367641797</v>
      </c>
      <c r="AB53" s="168">
        <v>168.80987645752984</v>
      </c>
      <c r="AC53" s="169">
        <v>7090.0148112162533</v>
      </c>
      <c r="AD53" s="167">
        <v>29.9</v>
      </c>
      <c r="AE53" s="165">
        <v>173.87</v>
      </c>
      <c r="AF53" s="169">
        <f t="shared" si="20"/>
        <v>7302.54</v>
      </c>
      <c r="AG53" s="168">
        <f t="shared" si="32"/>
        <v>30.797000000000001</v>
      </c>
      <c r="AH53" s="165">
        <f t="shared" si="32"/>
        <v>179.08610000000002</v>
      </c>
      <c r="AI53" s="169">
        <f t="shared" si="21"/>
        <v>7521.6162000000004</v>
      </c>
      <c r="AJ53" s="168">
        <f t="shared" si="33"/>
        <v>31.72091</v>
      </c>
      <c r="AK53" s="165">
        <f t="shared" si="33"/>
        <v>184.45868300000001</v>
      </c>
      <c r="AL53" s="169">
        <f t="shared" si="22"/>
        <v>7747.2646860000004</v>
      </c>
      <c r="AM53" s="373" t="s">
        <v>100</v>
      </c>
      <c r="AN53" s="391">
        <v>157.31990619000001</v>
      </c>
      <c r="AO53" s="392">
        <v>157.31990619000001</v>
      </c>
      <c r="AP53" s="393">
        <v>6607.4360599800002</v>
      </c>
      <c r="AQ53" s="373" t="s">
        <v>100</v>
      </c>
      <c r="AR53" s="391">
        <f t="shared" si="10"/>
        <v>162.03950337570001</v>
      </c>
      <c r="AS53" s="392">
        <f t="shared" si="11"/>
        <v>162.03950337570001</v>
      </c>
      <c r="AT53" s="393">
        <f t="shared" si="12"/>
        <v>6805.6591417794007</v>
      </c>
      <c r="AU53" s="391">
        <f t="shared" si="13"/>
        <v>166.900688476971</v>
      </c>
      <c r="AV53" s="392">
        <f t="shared" si="14"/>
        <v>166.900688476971</v>
      </c>
      <c r="AW53" s="393">
        <f t="shared" si="15"/>
        <v>7009.8289160327831</v>
      </c>
      <c r="AX53" s="391">
        <f t="shared" si="16"/>
        <v>171.90770913128014</v>
      </c>
      <c r="AY53" s="392">
        <f t="shared" si="17"/>
        <v>171.90770913128014</v>
      </c>
      <c r="AZ53" s="393">
        <f t="shared" si="18"/>
        <v>7220.1237835137672</v>
      </c>
      <c r="BA53" s="391">
        <f t="shared" si="26"/>
        <v>177.06494040521855</v>
      </c>
      <c r="BB53" s="392">
        <f t="shared" si="27"/>
        <v>177.06494040521855</v>
      </c>
      <c r="BC53" s="393">
        <f t="shared" si="28"/>
        <v>7436.7274970191802</v>
      </c>
      <c r="BD53" s="391">
        <f t="shared" si="29"/>
        <v>182.3768886173751</v>
      </c>
      <c r="BE53" s="392">
        <f t="shared" si="30"/>
        <v>182.3768886173751</v>
      </c>
      <c r="BF53" s="393">
        <f t="shared" si="31"/>
        <v>7659.8293219297557</v>
      </c>
      <c r="BG53" s="391">
        <f t="shared" si="5"/>
        <v>187.84819527589636</v>
      </c>
      <c r="BH53" s="392">
        <f t="shared" si="6"/>
        <v>187.84819527589636</v>
      </c>
      <c r="BI53" s="393">
        <f t="shared" si="7"/>
        <v>7889.6242015876487</v>
      </c>
    </row>
    <row r="54" spans="1:61" ht="14.25">
      <c r="A54" s="159">
        <v>221</v>
      </c>
      <c r="B54" s="150" t="s">
        <v>103</v>
      </c>
      <c r="C54" s="160">
        <v>40</v>
      </c>
      <c r="D54" s="161">
        <v>140</v>
      </c>
      <c r="E54" s="162">
        <v>5880</v>
      </c>
      <c r="F54" s="163">
        <v>40</v>
      </c>
      <c r="G54" s="161">
        <v>146.32</v>
      </c>
      <c r="H54" s="162">
        <v>6145.44</v>
      </c>
      <c r="I54" s="164">
        <v>42.2</v>
      </c>
      <c r="J54" s="161">
        <v>154.36759999999998</v>
      </c>
      <c r="K54" s="162">
        <v>6483.4391999999989</v>
      </c>
      <c r="L54" s="164">
        <v>44.31</v>
      </c>
      <c r="M54" s="161">
        <v>162.08598000000001</v>
      </c>
      <c r="N54" s="162">
        <v>6807.6111600000004</v>
      </c>
      <c r="O54" s="164">
        <v>46.30395</v>
      </c>
      <c r="P54" s="161">
        <v>169.3798491</v>
      </c>
      <c r="Q54" s="162">
        <v>7113.9536621999996</v>
      </c>
      <c r="R54" s="161">
        <v>46.30395</v>
      </c>
      <c r="S54" s="161">
        <v>169.3798491</v>
      </c>
      <c r="T54" s="161">
        <v>7113.9536621999996</v>
      </c>
      <c r="U54" s="164">
        <v>48.156108000000003</v>
      </c>
      <c r="V54" s="161">
        <v>176.15504306400001</v>
      </c>
      <c r="W54" s="162">
        <v>7398.5118086880002</v>
      </c>
      <c r="X54" s="161">
        <v>50.092352320000003</v>
      </c>
      <c r="Y54" s="161">
        <v>183.21124478656003</v>
      </c>
      <c r="Z54" s="161">
        <v>7694.8722810355212</v>
      </c>
      <c r="AA54" s="164">
        <v>52.58696993600001</v>
      </c>
      <c r="AB54" s="161">
        <v>192.36705702588804</v>
      </c>
      <c r="AC54" s="162">
        <v>8079.416395087298</v>
      </c>
      <c r="AD54" s="164">
        <v>54.17</v>
      </c>
      <c r="AE54" s="165">
        <v>198.14</v>
      </c>
      <c r="AF54" s="162">
        <f t="shared" si="20"/>
        <v>8321.8799999999992</v>
      </c>
      <c r="AG54" s="161">
        <f>AD54*(1+$AI$2)-0.01</f>
        <v>55.785100000000007</v>
      </c>
      <c r="AH54" s="165">
        <f t="shared" si="32"/>
        <v>204.08419999999998</v>
      </c>
      <c r="AI54" s="162">
        <f t="shared" si="21"/>
        <v>8571.536399999999</v>
      </c>
      <c r="AJ54" s="161">
        <f>AG54*(1+$AI$2)-0.01</f>
        <v>57.448653000000007</v>
      </c>
      <c r="AK54" s="165">
        <f>AH54*(1+$AI$2)-0.02</f>
        <v>210.18672599999996</v>
      </c>
      <c r="AL54" s="162">
        <f t="shared" si="22"/>
        <v>8827.8424919999979</v>
      </c>
      <c r="AM54" s="373" t="s">
        <v>102</v>
      </c>
      <c r="AN54" s="391">
        <v>32.672537300000002</v>
      </c>
      <c r="AO54" s="392">
        <v>189.99244349</v>
      </c>
      <c r="AP54" s="393">
        <v>7979.6826265800009</v>
      </c>
      <c r="AQ54" s="373" t="s">
        <v>102</v>
      </c>
      <c r="AR54" s="391">
        <f t="shared" si="10"/>
        <v>33.652713419000001</v>
      </c>
      <c r="AS54" s="392">
        <f t="shared" si="11"/>
        <v>195.69221679470002</v>
      </c>
      <c r="AT54" s="393">
        <f t="shared" si="12"/>
        <v>8219.0731053774016</v>
      </c>
      <c r="AU54" s="391">
        <f t="shared" si="13"/>
        <v>34.662294821570001</v>
      </c>
      <c r="AV54" s="392">
        <f t="shared" si="14"/>
        <v>201.56298329854101</v>
      </c>
      <c r="AW54" s="393">
        <f t="shared" si="15"/>
        <v>8465.6452985387241</v>
      </c>
      <c r="AX54" s="391">
        <f t="shared" si="16"/>
        <v>35.702163666217103</v>
      </c>
      <c r="AY54" s="392">
        <f t="shared" si="17"/>
        <v>207.60987279749725</v>
      </c>
      <c r="AZ54" s="393">
        <f t="shared" si="18"/>
        <v>8719.6146574948853</v>
      </c>
      <c r="BA54" s="391">
        <f t="shared" si="26"/>
        <v>36.773228576203614</v>
      </c>
      <c r="BB54" s="392">
        <f t="shared" si="27"/>
        <v>213.83816898142217</v>
      </c>
      <c r="BC54" s="393">
        <f t="shared" si="28"/>
        <v>8981.2030972197317</v>
      </c>
      <c r="BD54" s="391">
        <f t="shared" si="29"/>
        <v>37.876425433489722</v>
      </c>
      <c r="BE54" s="392">
        <f t="shared" si="30"/>
        <v>220.25331405086484</v>
      </c>
      <c r="BF54" s="393">
        <f t="shared" si="31"/>
        <v>9250.639190136324</v>
      </c>
      <c r="BG54" s="391">
        <f t="shared" si="5"/>
        <v>39.012718196494411</v>
      </c>
      <c r="BH54" s="392">
        <f t="shared" si="6"/>
        <v>226.86091347239079</v>
      </c>
      <c r="BI54" s="393">
        <f t="shared" si="7"/>
        <v>9528.1583658404143</v>
      </c>
    </row>
    <row r="55" spans="1:61" ht="15" thickBot="1">
      <c r="A55" s="159"/>
      <c r="B55" s="150" t="s">
        <v>180</v>
      </c>
      <c r="C55" s="160"/>
      <c r="D55" s="161"/>
      <c r="E55" s="162"/>
      <c r="F55" s="163"/>
      <c r="G55" s="161"/>
      <c r="H55" s="162"/>
      <c r="I55" s="164"/>
      <c r="J55" s="161"/>
      <c r="K55" s="162"/>
      <c r="L55" s="164"/>
      <c r="M55" s="161"/>
      <c r="N55" s="162"/>
      <c r="O55" s="164"/>
      <c r="P55" s="161"/>
      <c r="Q55" s="162"/>
      <c r="R55" s="161"/>
      <c r="S55" s="161"/>
      <c r="T55" s="161"/>
      <c r="U55" s="164"/>
      <c r="V55" s="161"/>
      <c r="W55" s="162"/>
      <c r="X55" s="161"/>
      <c r="Y55" s="161"/>
      <c r="Z55" s="161"/>
      <c r="AA55" s="164"/>
      <c r="AB55" s="161"/>
      <c r="AC55" s="162"/>
      <c r="AD55" s="209"/>
      <c r="AE55" s="212"/>
      <c r="AF55" s="210"/>
      <c r="AG55" s="209">
        <v>74.599999999999994</v>
      </c>
      <c r="AH55" s="212">
        <f>AH54+AG55</f>
        <v>278.68419999999998</v>
      </c>
      <c r="AI55" s="210">
        <f t="shared" si="21"/>
        <v>11704.7364</v>
      </c>
      <c r="AJ55" s="209">
        <f>AG55*(1+$AI$2)</f>
        <v>76.837999999999994</v>
      </c>
      <c r="AK55" s="212">
        <f>AK54+AJ55</f>
        <v>287.02472599999999</v>
      </c>
      <c r="AL55" s="210">
        <f t="shared" si="22"/>
        <v>12055.038492</v>
      </c>
      <c r="AM55" s="373" t="s">
        <v>103</v>
      </c>
      <c r="AN55" s="391">
        <v>59.172112590000012</v>
      </c>
      <c r="AO55" s="392">
        <v>216.49232777999998</v>
      </c>
      <c r="AP55" s="393">
        <v>9092.6777667599981</v>
      </c>
      <c r="AQ55" s="373" t="s">
        <v>103</v>
      </c>
      <c r="AR55" s="391">
        <f t="shared" si="10"/>
        <v>60.947275967700016</v>
      </c>
      <c r="AS55" s="392">
        <f t="shared" si="11"/>
        <v>222.98709761339998</v>
      </c>
      <c r="AT55" s="393">
        <f t="shared" si="12"/>
        <v>9365.4580997627982</v>
      </c>
      <c r="AU55" s="391">
        <f t="shared" si="13"/>
        <v>62.775694246731021</v>
      </c>
      <c r="AV55" s="392">
        <f t="shared" si="14"/>
        <v>229.67671054180198</v>
      </c>
      <c r="AW55" s="393">
        <f t="shared" si="15"/>
        <v>9646.4218427556825</v>
      </c>
      <c r="AX55" s="391">
        <f t="shared" si="16"/>
        <v>64.658965074132951</v>
      </c>
      <c r="AY55" s="392">
        <f t="shared" si="17"/>
        <v>236.56701185805605</v>
      </c>
      <c r="AZ55" s="393">
        <f t="shared" si="18"/>
        <v>9935.8144980383531</v>
      </c>
      <c r="BA55" s="391">
        <f t="shared" si="26"/>
        <v>66.598734026356937</v>
      </c>
      <c r="BB55" s="392">
        <f t="shared" si="27"/>
        <v>243.66402221379775</v>
      </c>
      <c r="BC55" s="393">
        <f t="shared" si="28"/>
        <v>10233.888932979504</v>
      </c>
      <c r="BD55" s="391">
        <f t="shared" si="29"/>
        <v>68.596696047147645</v>
      </c>
      <c r="BE55" s="392">
        <f t="shared" si="30"/>
        <v>250.97394288021169</v>
      </c>
      <c r="BF55" s="393">
        <f t="shared" si="31"/>
        <v>10540.905600968888</v>
      </c>
      <c r="BG55" s="391">
        <f t="shared" si="5"/>
        <v>70.654596928562071</v>
      </c>
      <c r="BH55" s="392">
        <f t="shared" si="6"/>
        <v>258.50316116661804</v>
      </c>
      <c r="BI55" s="393">
        <f t="shared" si="7"/>
        <v>10857.132768997955</v>
      </c>
    </row>
    <row r="56" spans="1:61" ht="15" thickBot="1">
      <c r="A56" s="152">
        <v>210</v>
      </c>
      <c r="B56" s="149" t="s">
        <v>97</v>
      </c>
      <c r="C56" s="153">
        <v>15</v>
      </c>
      <c r="D56" s="154">
        <v>15</v>
      </c>
      <c r="E56" s="155">
        <v>630</v>
      </c>
      <c r="F56" s="156">
        <v>35.32</v>
      </c>
      <c r="G56" s="154">
        <v>35.32</v>
      </c>
      <c r="H56" s="155">
        <v>1483.44</v>
      </c>
      <c r="I56" s="157">
        <v>37.262599999999999</v>
      </c>
      <c r="J56" s="154">
        <v>37.262599999999999</v>
      </c>
      <c r="K56" s="155">
        <v>1565.0291999999999</v>
      </c>
      <c r="L56" s="157">
        <v>39.125729999999997</v>
      </c>
      <c r="M56" s="154">
        <v>39.125729999999997</v>
      </c>
      <c r="N56" s="155">
        <v>1643.2806599999999</v>
      </c>
      <c r="O56" s="157">
        <v>40.886387849999991</v>
      </c>
      <c r="P56" s="154">
        <v>40.886387849999991</v>
      </c>
      <c r="Q56" s="155">
        <v>1717.2282896999996</v>
      </c>
      <c r="R56" s="154">
        <v>63.55</v>
      </c>
      <c r="S56" s="154">
        <v>63.55</v>
      </c>
      <c r="T56" s="154">
        <v>2669.1</v>
      </c>
      <c r="U56" s="157">
        <v>66.091999999999999</v>
      </c>
      <c r="V56" s="154">
        <v>66.091999999999999</v>
      </c>
      <c r="W56" s="155">
        <v>2775.864</v>
      </c>
      <c r="X56" s="154">
        <v>68.725679999999997</v>
      </c>
      <c r="Y56" s="154">
        <v>68.725679999999997</v>
      </c>
      <c r="Z56" s="154">
        <v>2886.47856</v>
      </c>
      <c r="AA56" s="157">
        <v>72.161963999999998</v>
      </c>
      <c r="AB56" s="154">
        <v>72.161963999999998</v>
      </c>
      <c r="AC56" s="155">
        <v>3030.8024879999998</v>
      </c>
      <c r="AD56" s="157">
        <v>74.319999999999993</v>
      </c>
      <c r="AE56" s="158">
        <v>74.319999999999993</v>
      </c>
      <c r="AF56" s="155">
        <f>AE56*42</f>
        <v>3121.4399999999996</v>
      </c>
      <c r="AG56" s="154">
        <f>AD56*(1+$AI$2)</f>
        <v>76.549599999999998</v>
      </c>
      <c r="AH56" s="158">
        <f>AE56*(1+$AI$2)</f>
        <v>76.549599999999998</v>
      </c>
      <c r="AI56" s="155">
        <f t="shared" si="21"/>
        <v>3215.0832</v>
      </c>
      <c r="AJ56" s="154">
        <f t="shared" ref="AJ56:AK59" si="34">AG56*(1+$AI$2)</f>
        <v>78.846087999999995</v>
      </c>
      <c r="AK56" s="158">
        <f t="shared" si="34"/>
        <v>78.846087999999995</v>
      </c>
      <c r="AL56" s="155">
        <f t="shared" si="22"/>
        <v>3311.5356959999999</v>
      </c>
      <c r="AM56" s="373" t="s">
        <v>180</v>
      </c>
      <c r="AN56" s="394">
        <v>53.436400000000006</v>
      </c>
      <c r="AO56" s="395">
        <v>269.92872777999997</v>
      </c>
      <c r="AP56" s="396">
        <v>11337.006566759999</v>
      </c>
      <c r="AQ56" s="373" t="s">
        <v>180</v>
      </c>
      <c r="AR56" s="394">
        <f t="shared" si="10"/>
        <v>55.03949200000001</v>
      </c>
      <c r="AS56" s="395">
        <f t="shared" si="11"/>
        <v>278.02658961340001</v>
      </c>
      <c r="AT56" s="396">
        <f t="shared" si="12"/>
        <v>11677.116763762799</v>
      </c>
      <c r="AU56" s="394">
        <f t="shared" si="13"/>
        <v>56.690676760000009</v>
      </c>
      <c r="AV56" s="395">
        <f t="shared" si="14"/>
        <v>286.36738730180201</v>
      </c>
      <c r="AW56" s="396">
        <f t="shared" si="15"/>
        <v>12027.430266675683</v>
      </c>
      <c r="AX56" s="394">
        <f t="shared" si="16"/>
        <v>58.39139706280001</v>
      </c>
      <c r="AY56" s="395">
        <f t="shared" si="17"/>
        <v>294.95840892085607</v>
      </c>
      <c r="AZ56" s="396">
        <f t="shared" si="18"/>
        <v>12388.253174675954</v>
      </c>
      <c r="BA56" s="394">
        <f t="shared" si="26"/>
        <v>60.143138974684014</v>
      </c>
      <c r="BB56" s="395">
        <f t="shared" si="27"/>
        <v>303.80716118848176</v>
      </c>
      <c r="BC56" s="396">
        <f t="shared" si="28"/>
        <v>12759.900769916234</v>
      </c>
      <c r="BD56" s="394">
        <f t="shared" si="29"/>
        <v>61.947433143924535</v>
      </c>
      <c r="BE56" s="395">
        <f t="shared" si="30"/>
        <v>312.92137602413624</v>
      </c>
      <c r="BF56" s="396">
        <f t="shared" si="31"/>
        <v>13142.697793013722</v>
      </c>
      <c r="BG56" s="394">
        <f t="shared" si="5"/>
        <v>63.80585613824227</v>
      </c>
      <c r="BH56" s="395">
        <f t="shared" si="6"/>
        <v>322.30901730486033</v>
      </c>
      <c r="BI56" s="396">
        <f t="shared" si="7"/>
        <v>13536.978726804135</v>
      </c>
    </row>
    <row r="57" spans="1:61" ht="14.25">
      <c r="A57" s="159">
        <v>260</v>
      </c>
      <c r="B57" s="150" t="s">
        <v>100</v>
      </c>
      <c r="C57" s="160">
        <v>100</v>
      </c>
      <c r="D57" s="161">
        <v>100</v>
      </c>
      <c r="E57" s="162">
        <v>4200</v>
      </c>
      <c r="F57" s="163">
        <v>106.32</v>
      </c>
      <c r="G57" s="161">
        <v>106.32</v>
      </c>
      <c r="H57" s="162">
        <v>4465.4399999999996</v>
      </c>
      <c r="I57" s="164">
        <v>112.16759999999999</v>
      </c>
      <c r="J57" s="161">
        <v>112.16759999999999</v>
      </c>
      <c r="K57" s="162">
        <v>4711.0391999999993</v>
      </c>
      <c r="L57" s="164">
        <v>117.77598</v>
      </c>
      <c r="M57" s="161">
        <v>117.77598</v>
      </c>
      <c r="N57" s="162">
        <v>4946.5911599999999</v>
      </c>
      <c r="O57" s="164">
        <v>123.0758991</v>
      </c>
      <c r="P57" s="161">
        <v>123.0758991</v>
      </c>
      <c r="Q57" s="162">
        <v>5169.1877622000002</v>
      </c>
      <c r="R57" s="161">
        <v>123.0758991</v>
      </c>
      <c r="S57" s="161">
        <v>123.0758991</v>
      </c>
      <c r="T57" s="161">
        <v>5169.1877622000002</v>
      </c>
      <c r="U57" s="164">
        <v>127.99893506400001</v>
      </c>
      <c r="V57" s="161">
        <v>127.99893506400001</v>
      </c>
      <c r="W57" s="162">
        <v>5375.9552726880002</v>
      </c>
      <c r="X57" s="161">
        <v>133.11889246656003</v>
      </c>
      <c r="Y57" s="161">
        <v>133.11889246656003</v>
      </c>
      <c r="Z57" s="161">
        <v>5590.993483595521</v>
      </c>
      <c r="AA57" s="164">
        <v>139.78008708988804</v>
      </c>
      <c r="AB57" s="161">
        <v>139.78008708988804</v>
      </c>
      <c r="AC57" s="162">
        <v>5870.7636577752974</v>
      </c>
      <c r="AD57" s="164">
        <v>143.97</v>
      </c>
      <c r="AE57" s="165">
        <v>143.97</v>
      </c>
      <c r="AF57" s="162">
        <f>AE57*42</f>
        <v>6046.74</v>
      </c>
      <c r="AG57" s="161">
        <f>AD57*(1+$AI$2)</f>
        <v>148.28909999999999</v>
      </c>
      <c r="AH57" s="165">
        <f>AE57*(1+$AI$2)</f>
        <v>148.28909999999999</v>
      </c>
      <c r="AI57" s="162">
        <f t="shared" si="21"/>
        <v>6228.1421999999993</v>
      </c>
      <c r="AJ57" s="161">
        <f t="shared" si="34"/>
        <v>152.737773</v>
      </c>
      <c r="AK57" s="165">
        <f t="shared" si="34"/>
        <v>152.737773</v>
      </c>
      <c r="AL57" s="162">
        <f t="shared" si="22"/>
        <v>6414.9864660000003</v>
      </c>
      <c r="AM57" s="376" t="s">
        <v>97</v>
      </c>
      <c r="AN57" s="388">
        <v>81.211470640000002</v>
      </c>
      <c r="AO57" s="389">
        <v>81.211470640000002</v>
      </c>
      <c r="AP57" s="390">
        <v>3410.8817668800002</v>
      </c>
      <c r="AQ57" s="376" t="s">
        <v>97</v>
      </c>
      <c r="AR57" s="388">
        <f t="shared" si="10"/>
        <v>83.647814759200003</v>
      </c>
      <c r="AS57" s="389">
        <f t="shared" si="11"/>
        <v>83.647814759200003</v>
      </c>
      <c r="AT57" s="390">
        <f t="shared" si="12"/>
        <v>3513.2082198864005</v>
      </c>
      <c r="AU57" s="388">
        <f t="shared" si="13"/>
        <v>86.157249201976001</v>
      </c>
      <c r="AV57" s="389">
        <f t="shared" si="14"/>
        <v>86.157249201976001</v>
      </c>
      <c r="AW57" s="390">
        <f t="shared" si="15"/>
        <v>3618.6044664829924</v>
      </c>
      <c r="AX57" s="388">
        <f t="shared" si="16"/>
        <v>88.741966678035283</v>
      </c>
      <c r="AY57" s="389">
        <f t="shared" si="17"/>
        <v>88.741966678035283</v>
      </c>
      <c r="AZ57" s="390">
        <f t="shared" si="18"/>
        <v>3727.1626004774821</v>
      </c>
      <c r="BA57" s="388">
        <f t="shared" si="26"/>
        <v>91.404225678376349</v>
      </c>
      <c r="BB57" s="389">
        <f t="shared" si="27"/>
        <v>91.404225678376349</v>
      </c>
      <c r="BC57" s="390">
        <f t="shared" si="28"/>
        <v>3838.9774784918068</v>
      </c>
      <c r="BD57" s="388">
        <f t="shared" si="29"/>
        <v>94.14635244872764</v>
      </c>
      <c r="BE57" s="389">
        <f t="shared" si="30"/>
        <v>94.14635244872764</v>
      </c>
      <c r="BF57" s="390">
        <f t="shared" si="31"/>
        <v>3954.1468028465611</v>
      </c>
      <c r="BG57" s="388">
        <f t="shared" si="5"/>
        <v>96.970743022189467</v>
      </c>
      <c r="BH57" s="389">
        <f t="shared" si="6"/>
        <v>96.970743022189467</v>
      </c>
      <c r="BI57" s="390">
        <f t="shared" si="7"/>
        <v>4072.7712069319582</v>
      </c>
    </row>
    <row r="58" spans="1:61" ht="14.25">
      <c r="A58" s="227"/>
      <c r="B58" s="214" t="s">
        <v>195</v>
      </c>
      <c r="C58" s="228"/>
      <c r="D58" s="229"/>
      <c r="E58" s="230"/>
      <c r="F58" s="228"/>
      <c r="G58" s="229"/>
      <c r="H58" s="230"/>
      <c r="I58" s="228"/>
      <c r="J58" s="229"/>
      <c r="K58" s="230"/>
      <c r="L58" s="228"/>
      <c r="M58" s="229"/>
      <c r="N58" s="230"/>
      <c r="O58" s="228"/>
      <c r="P58" s="229"/>
      <c r="Q58" s="230"/>
      <c r="R58" s="229"/>
      <c r="S58" s="229"/>
      <c r="T58" s="229"/>
      <c r="U58" s="228"/>
      <c r="V58" s="229"/>
      <c r="W58" s="230"/>
      <c r="X58" s="229"/>
      <c r="Y58" s="229"/>
      <c r="Z58" s="229"/>
      <c r="AA58" s="228"/>
      <c r="AB58" s="229"/>
      <c r="AC58" s="230"/>
      <c r="AD58" s="161"/>
      <c r="AE58" s="165"/>
      <c r="AF58" s="162"/>
      <c r="AG58" s="161">
        <v>116.27947684440193</v>
      </c>
      <c r="AH58" s="165">
        <f>+AG58+AH57</f>
        <v>264.56857684440195</v>
      </c>
      <c r="AI58" s="162">
        <f>AH58*42</f>
        <v>11111.880227464882</v>
      </c>
      <c r="AJ58" s="161">
        <f t="shared" si="34"/>
        <v>119.76786114973399</v>
      </c>
      <c r="AK58" s="165">
        <f>+AJ58+AK57</f>
        <v>272.50563414973396</v>
      </c>
      <c r="AL58" s="162">
        <f>AK58*42</f>
        <v>11445.236634288827</v>
      </c>
      <c r="AM58" s="373" t="s">
        <v>100</v>
      </c>
      <c r="AN58" s="391">
        <v>157.31990619000001</v>
      </c>
      <c r="AO58" s="392">
        <v>157.31990619000001</v>
      </c>
      <c r="AP58" s="393">
        <v>6607.4360599800002</v>
      </c>
      <c r="AQ58" s="373" t="s">
        <v>100</v>
      </c>
      <c r="AR58" s="391">
        <f t="shared" si="10"/>
        <v>162.03950337570001</v>
      </c>
      <c r="AS58" s="392">
        <f t="shared" si="11"/>
        <v>162.03950337570001</v>
      </c>
      <c r="AT58" s="393">
        <f t="shared" si="12"/>
        <v>6805.6591417794007</v>
      </c>
      <c r="AU58" s="391">
        <f t="shared" si="13"/>
        <v>166.900688476971</v>
      </c>
      <c r="AV58" s="392">
        <f t="shared" si="14"/>
        <v>166.900688476971</v>
      </c>
      <c r="AW58" s="393">
        <f t="shared" si="15"/>
        <v>7009.8289160327831</v>
      </c>
      <c r="AX58" s="391">
        <f t="shared" si="16"/>
        <v>171.90770913128014</v>
      </c>
      <c r="AY58" s="392">
        <f t="shared" si="17"/>
        <v>171.90770913128014</v>
      </c>
      <c r="AZ58" s="393">
        <f t="shared" si="18"/>
        <v>7220.1237835137672</v>
      </c>
      <c r="BA58" s="391">
        <f t="shared" si="26"/>
        <v>177.06494040521855</v>
      </c>
      <c r="BB58" s="392">
        <f t="shared" si="27"/>
        <v>177.06494040521855</v>
      </c>
      <c r="BC58" s="393">
        <f t="shared" si="28"/>
        <v>7436.7274970191802</v>
      </c>
      <c r="BD58" s="391">
        <f t="shared" si="29"/>
        <v>182.3768886173751</v>
      </c>
      <c r="BE58" s="392">
        <f t="shared" si="30"/>
        <v>182.3768886173751</v>
      </c>
      <c r="BF58" s="393">
        <f t="shared" si="31"/>
        <v>7659.8293219297557</v>
      </c>
      <c r="BG58" s="391">
        <f t="shared" si="5"/>
        <v>187.84819527589636</v>
      </c>
      <c r="BH58" s="392">
        <f t="shared" si="6"/>
        <v>187.84819527589636</v>
      </c>
      <c r="BI58" s="393">
        <f t="shared" si="7"/>
        <v>7889.6242015876487</v>
      </c>
    </row>
    <row r="59" spans="1:61" ht="15" thickBot="1">
      <c r="A59" s="206"/>
      <c r="B59" s="226" t="s">
        <v>196</v>
      </c>
      <c r="C59" s="231"/>
      <c r="D59" s="232"/>
      <c r="E59" s="233"/>
      <c r="F59" s="231"/>
      <c r="G59" s="232"/>
      <c r="H59" s="233"/>
      <c r="I59" s="231"/>
      <c r="J59" s="232"/>
      <c r="K59" s="233"/>
      <c r="L59" s="231"/>
      <c r="M59" s="232"/>
      <c r="N59" s="233"/>
      <c r="O59" s="231"/>
      <c r="P59" s="232"/>
      <c r="Q59" s="233"/>
      <c r="R59" s="232"/>
      <c r="S59" s="232"/>
      <c r="T59" s="232"/>
      <c r="U59" s="231"/>
      <c r="V59" s="232"/>
      <c r="W59" s="233"/>
      <c r="X59" s="232"/>
      <c r="Y59" s="232"/>
      <c r="Z59" s="232"/>
      <c r="AA59" s="231"/>
      <c r="AB59" s="232"/>
      <c r="AC59" s="233"/>
      <c r="AD59" s="209"/>
      <c r="AE59" s="212"/>
      <c r="AF59" s="210"/>
      <c r="AG59" s="209">
        <v>205.64</v>
      </c>
      <c r="AH59" s="212">
        <f>+AH58+AG59</f>
        <v>470.20857684440193</v>
      </c>
      <c r="AI59" s="210">
        <f t="shared" si="21"/>
        <v>19748.760227464882</v>
      </c>
      <c r="AJ59" s="209">
        <f t="shared" si="34"/>
        <v>211.8092</v>
      </c>
      <c r="AK59" s="212">
        <f>+AK58+AJ59</f>
        <v>484.314834149734</v>
      </c>
      <c r="AL59" s="210">
        <f>AK59*42</f>
        <v>20341.223034288829</v>
      </c>
      <c r="AM59" s="373" t="s">
        <v>195</v>
      </c>
      <c r="AN59" s="391">
        <v>127.0617238937528</v>
      </c>
      <c r="AO59" s="392">
        <v>284.38163008375284</v>
      </c>
      <c r="AP59" s="393">
        <v>11944.028463517619</v>
      </c>
      <c r="AQ59" s="373" t="s">
        <v>195</v>
      </c>
      <c r="AR59" s="391">
        <f t="shared" si="10"/>
        <v>130.87357561056538</v>
      </c>
      <c r="AS59" s="392">
        <f t="shared" si="11"/>
        <v>292.91307898626542</v>
      </c>
      <c r="AT59" s="393">
        <f t="shared" si="12"/>
        <v>12302.349317423148</v>
      </c>
      <c r="AU59" s="391">
        <f t="shared" si="13"/>
        <v>134.79978287888235</v>
      </c>
      <c r="AV59" s="392">
        <f t="shared" si="14"/>
        <v>301.70047135585338</v>
      </c>
      <c r="AW59" s="393">
        <f t="shared" si="15"/>
        <v>12671.419796945844</v>
      </c>
      <c r="AX59" s="391">
        <f t="shared" si="16"/>
        <v>138.84377636524883</v>
      </c>
      <c r="AY59" s="392">
        <f t="shared" si="17"/>
        <v>310.75148549652897</v>
      </c>
      <c r="AZ59" s="393">
        <f t="shared" si="18"/>
        <v>13051.56239085422</v>
      </c>
      <c r="BA59" s="391">
        <f t="shared" si="26"/>
        <v>143.0090896562063</v>
      </c>
      <c r="BB59" s="392">
        <f t="shared" si="27"/>
        <v>320.07403006142482</v>
      </c>
      <c r="BC59" s="393">
        <f t="shared" si="28"/>
        <v>13443.109262579846</v>
      </c>
      <c r="BD59" s="391">
        <f t="shared" si="29"/>
        <v>147.29936234589249</v>
      </c>
      <c r="BE59" s="392">
        <f t="shared" si="30"/>
        <v>329.67625096326759</v>
      </c>
      <c r="BF59" s="393">
        <f t="shared" si="31"/>
        <v>13846.402540457242</v>
      </c>
      <c r="BG59" s="391">
        <f t="shared" si="5"/>
        <v>151.71834321626926</v>
      </c>
      <c r="BH59" s="392">
        <f t="shared" si="6"/>
        <v>339.56653849216565</v>
      </c>
      <c r="BI59" s="393">
        <f t="shared" si="7"/>
        <v>14261.794616670959</v>
      </c>
    </row>
    <row r="60" spans="1:61" ht="15" thickBot="1">
      <c r="A60" s="170" t="s">
        <v>123</v>
      </c>
      <c r="B60" s="170"/>
      <c r="C60" s="170"/>
      <c r="D60" s="170"/>
      <c r="E60" s="170"/>
      <c r="F60" s="234"/>
      <c r="G60" s="234"/>
      <c r="H60" s="234"/>
      <c r="I60" s="234"/>
      <c r="J60" s="234"/>
      <c r="K60" s="234"/>
      <c r="L60" s="234"/>
      <c r="M60" s="234"/>
      <c r="N60" s="234"/>
      <c r="O60" s="234"/>
      <c r="P60" s="234"/>
      <c r="Q60" s="234"/>
      <c r="AE60" s="190"/>
      <c r="AF60" s="190"/>
      <c r="AM60" s="372" t="s">
        <v>196</v>
      </c>
      <c r="AN60" s="394">
        <v>218.163476</v>
      </c>
      <c r="AO60" s="395">
        <v>502.54510608375284</v>
      </c>
      <c r="AP60" s="396">
        <v>21106.89445551762</v>
      </c>
      <c r="AQ60" s="372" t="s">
        <v>196</v>
      </c>
      <c r="AR60" s="394">
        <f t="shared" si="10"/>
        <v>224.70838028</v>
      </c>
      <c r="AS60" s="395">
        <f t="shared" si="11"/>
        <v>517.62145926626545</v>
      </c>
      <c r="AT60" s="396">
        <f t="shared" si="12"/>
        <v>21740.101289183149</v>
      </c>
      <c r="AU60" s="394">
        <f t="shared" si="13"/>
        <v>231.44963168840002</v>
      </c>
      <c r="AV60" s="395">
        <f t="shared" si="14"/>
        <v>533.15010304425346</v>
      </c>
      <c r="AW60" s="396">
        <f t="shared" si="15"/>
        <v>22392.304327858645</v>
      </c>
      <c r="AX60" s="394">
        <f t="shared" si="16"/>
        <v>238.39312063905203</v>
      </c>
      <c r="AY60" s="395">
        <f t="shared" si="17"/>
        <v>549.14460613558106</v>
      </c>
      <c r="AZ60" s="396">
        <f t="shared" si="18"/>
        <v>23064.073457694405</v>
      </c>
      <c r="BA60" s="394">
        <f t="shared" si="26"/>
        <v>245.5449142582236</v>
      </c>
      <c r="BB60" s="395">
        <f t="shared" si="27"/>
        <v>565.61894431964845</v>
      </c>
      <c r="BC60" s="396">
        <f t="shared" si="28"/>
        <v>23755.995661425237</v>
      </c>
      <c r="BD60" s="394">
        <f t="shared" si="29"/>
        <v>252.91126168597032</v>
      </c>
      <c r="BE60" s="395">
        <f t="shared" si="30"/>
        <v>582.58751264923796</v>
      </c>
      <c r="BF60" s="396">
        <f t="shared" si="31"/>
        <v>24468.675531267996</v>
      </c>
      <c r="BG60" s="394">
        <f t="shared" si="5"/>
        <v>260.49859953654942</v>
      </c>
      <c r="BH60" s="395">
        <f t="shared" si="6"/>
        <v>600.06513802871507</v>
      </c>
      <c r="BI60" s="396">
        <f t="shared" si="7"/>
        <v>25202.735797206038</v>
      </c>
    </row>
    <row r="61" spans="1:61" ht="15" thickBot="1">
      <c r="A61" s="171" t="s">
        <v>124</v>
      </c>
      <c r="B61" s="172"/>
      <c r="C61" s="171"/>
      <c r="D61" s="171"/>
      <c r="E61" s="171"/>
      <c r="F61" s="190"/>
      <c r="G61" s="190"/>
      <c r="H61" s="234"/>
      <c r="I61" s="190"/>
      <c r="J61" s="190"/>
      <c r="K61" s="190"/>
      <c r="L61" s="234"/>
      <c r="M61" s="234"/>
      <c r="N61" s="234"/>
      <c r="O61" s="234"/>
      <c r="P61" s="234"/>
      <c r="Q61" s="234"/>
      <c r="AE61" s="190"/>
      <c r="AF61" s="190"/>
      <c r="AG61" s="225"/>
      <c r="AM61" s="377" t="s">
        <v>273</v>
      </c>
      <c r="AN61" s="398">
        <v>43.568999999999996</v>
      </c>
      <c r="AO61" s="399">
        <v>43.568999999999996</v>
      </c>
      <c r="AP61" s="396">
        <v>1829.8979999999999</v>
      </c>
      <c r="AQ61" s="377" t="s">
        <v>273</v>
      </c>
      <c r="AR61" s="398">
        <f t="shared" si="10"/>
        <v>44.876069999999999</v>
      </c>
      <c r="AS61" s="399">
        <f t="shared" si="11"/>
        <v>44.876069999999999</v>
      </c>
      <c r="AT61" s="396">
        <f t="shared" si="12"/>
        <v>1884.79494</v>
      </c>
      <c r="AU61" s="398">
        <f t="shared" si="13"/>
        <v>46.222352100000002</v>
      </c>
      <c r="AV61" s="399">
        <f t="shared" si="14"/>
        <v>46.222352100000002</v>
      </c>
      <c r="AW61" s="396">
        <f t="shared" si="15"/>
        <v>1941.3387882</v>
      </c>
      <c r="AX61" s="398">
        <f t="shared" si="16"/>
        <v>47.609022663000005</v>
      </c>
      <c r="AY61" s="399">
        <f t="shared" si="17"/>
        <v>47.609022663000005</v>
      </c>
      <c r="AZ61" s="396">
        <f t="shared" si="18"/>
        <v>1999.5789518460001</v>
      </c>
      <c r="BA61" s="398">
        <f t="shared" si="26"/>
        <v>49.037293342890003</v>
      </c>
      <c r="BB61" s="399">
        <f t="shared" si="27"/>
        <v>49.037293342890003</v>
      </c>
      <c r="BC61" s="396">
        <f t="shared" si="28"/>
        <v>2059.5663204013804</v>
      </c>
      <c r="BD61" s="398">
        <f t="shared" si="29"/>
        <v>50.508412143176706</v>
      </c>
      <c r="BE61" s="399">
        <f t="shared" si="30"/>
        <v>50.508412143176706</v>
      </c>
      <c r="BF61" s="396">
        <f t="shared" si="31"/>
        <v>2121.3533100134218</v>
      </c>
      <c r="BG61" s="398">
        <f t="shared" si="5"/>
        <v>52.023664507472006</v>
      </c>
      <c r="BH61" s="399">
        <f t="shared" si="6"/>
        <v>52.023664507472006</v>
      </c>
      <c r="BI61" s="396">
        <f t="shared" si="7"/>
        <v>2184.9939093138246</v>
      </c>
    </row>
    <row r="62" spans="1:61" ht="15" customHeight="1">
      <c r="A62" s="173" t="s">
        <v>125</v>
      </c>
      <c r="B62" s="173"/>
      <c r="C62" s="173"/>
      <c r="D62" s="173"/>
      <c r="E62" s="173"/>
      <c r="F62" s="190"/>
      <c r="G62" s="190"/>
      <c r="H62" s="234"/>
      <c r="I62" s="190"/>
      <c r="J62" s="190"/>
      <c r="K62" s="190"/>
      <c r="L62" s="190"/>
      <c r="M62" s="190"/>
      <c r="N62" s="190"/>
      <c r="O62" s="190"/>
      <c r="P62" s="190"/>
      <c r="Q62" s="190"/>
      <c r="AE62" s="190"/>
      <c r="AF62" s="190"/>
      <c r="AM62" s="170"/>
      <c r="AQ62" s="170"/>
    </row>
    <row r="63" spans="1:61" ht="14.25">
      <c r="A63" s="174" t="s">
        <v>126</v>
      </c>
      <c r="B63" s="174"/>
      <c r="C63" s="174"/>
      <c r="D63" s="174"/>
      <c r="E63" s="174"/>
      <c r="F63" s="235"/>
      <c r="G63" s="235"/>
      <c r="H63" s="235"/>
      <c r="I63" s="190"/>
      <c r="J63" s="190"/>
      <c r="K63" s="190"/>
      <c r="L63" s="190"/>
      <c r="M63" s="190"/>
      <c r="N63" s="190"/>
      <c r="O63" s="190"/>
      <c r="P63" s="190"/>
      <c r="Q63" s="190"/>
      <c r="AE63" s="190"/>
      <c r="AF63" s="190"/>
      <c r="AM63" s="172"/>
      <c r="AQ63" s="172"/>
    </row>
    <row r="64" spans="1:61" ht="14.25">
      <c r="A64" s="175" t="s">
        <v>181</v>
      </c>
      <c r="B64" s="175"/>
      <c r="C64" s="175"/>
      <c r="D64" s="175"/>
      <c r="E64" s="175"/>
      <c r="F64" s="235"/>
      <c r="G64" s="235"/>
      <c r="H64" s="235"/>
      <c r="I64" s="190"/>
      <c r="J64" s="190"/>
      <c r="K64" s="190"/>
      <c r="L64" s="190"/>
      <c r="M64" s="190"/>
      <c r="N64" s="190"/>
      <c r="O64" s="190"/>
      <c r="P64" s="190"/>
      <c r="Q64" s="190"/>
      <c r="AE64" s="190"/>
      <c r="AF64" s="190"/>
      <c r="AM64" s="173"/>
      <c r="AQ64" s="173"/>
    </row>
    <row r="65" spans="1:61" ht="15" thickBot="1">
      <c r="A65" s="236" t="s">
        <v>197</v>
      </c>
      <c r="B65" s="236"/>
      <c r="C65" s="236"/>
      <c r="D65" s="236"/>
      <c r="E65" s="236"/>
      <c r="F65" s="235"/>
      <c r="G65" s="235"/>
      <c r="H65" s="235"/>
      <c r="I65" s="190"/>
      <c r="J65" s="190"/>
      <c r="K65" s="190"/>
      <c r="L65" s="190"/>
      <c r="M65" s="190"/>
      <c r="N65" s="190"/>
      <c r="O65" s="190"/>
      <c r="P65" s="190"/>
      <c r="Q65" s="190"/>
      <c r="AE65" s="190"/>
      <c r="AF65" s="190"/>
      <c r="AM65" s="174"/>
      <c r="AQ65" s="174"/>
    </row>
    <row r="66" spans="1:61" ht="15.75" thickBot="1">
      <c r="A66" s="237">
        <v>279</v>
      </c>
      <c r="B66" s="238" t="s">
        <v>127</v>
      </c>
      <c r="C66" s="239"/>
      <c r="D66" s="239"/>
      <c r="E66" s="239"/>
      <c r="F66" s="239"/>
      <c r="G66" s="239"/>
      <c r="H66" s="239"/>
      <c r="I66" s="239"/>
      <c r="J66" s="239"/>
      <c r="K66" s="240">
        <v>6.4899999999999999E-2</v>
      </c>
      <c r="L66" s="190"/>
      <c r="M66" s="190"/>
      <c r="N66" s="240">
        <v>5.5E-2</v>
      </c>
      <c r="O66" s="190"/>
      <c r="P66" s="190"/>
      <c r="Q66" s="240">
        <v>4.8500000000000001E-2</v>
      </c>
      <c r="T66" s="240"/>
      <c r="V66" s="241" t="s">
        <v>128</v>
      </c>
      <c r="W66" s="240">
        <v>4.48E-2</v>
      </c>
      <c r="Y66" s="241" t="s">
        <v>129</v>
      </c>
      <c r="Z66" s="240">
        <v>5.6899999999999999E-2</v>
      </c>
      <c r="AB66" s="241"/>
      <c r="AC66" s="240">
        <v>7.6700000000000004E-2</v>
      </c>
      <c r="AE66" s="241"/>
      <c r="AF66" s="240">
        <v>0.02</v>
      </c>
      <c r="AG66" s="242" t="s">
        <v>168</v>
      </c>
      <c r="AI66" s="243">
        <v>3.1699999999999999E-2</v>
      </c>
      <c r="AJ66" s="242" t="s">
        <v>198</v>
      </c>
      <c r="AL66" s="243">
        <v>3.73E-2</v>
      </c>
      <c r="AM66" s="175"/>
      <c r="AQ66" s="175"/>
    </row>
    <row r="67" spans="1:61" ht="13.5" thickBot="1">
      <c r="A67" s="244"/>
      <c r="B67" s="245" t="s">
        <v>130</v>
      </c>
      <c r="C67" s="246" t="s">
        <v>131</v>
      </c>
      <c r="D67" s="247"/>
      <c r="E67" s="247"/>
      <c r="F67" s="248" t="s">
        <v>132</v>
      </c>
      <c r="G67" s="249"/>
      <c r="H67" s="249"/>
      <c r="I67" s="248" t="s">
        <v>133</v>
      </c>
      <c r="J67" s="249"/>
      <c r="K67" s="249"/>
      <c r="L67" s="248" t="s">
        <v>134</v>
      </c>
      <c r="M67" s="249"/>
      <c r="N67" s="249"/>
      <c r="O67" s="248" t="s">
        <v>135</v>
      </c>
      <c r="P67" s="249"/>
      <c r="Q67" s="249"/>
      <c r="R67" s="248" t="s">
        <v>135</v>
      </c>
      <c r="S67" s="249"/>
      <c r="T67" s="249"/>
      <c r="U67" s="248" t="s">
        <v>136</v>
      </c>
      <c r="V67" s="249"/>
      <c r="W67" s="249"/>
      <c r="X67" s="250" t="s">
        <v>137</v>
      </c>
      <c r="Y67" s="251"/>
      <c r="Z67" s="252"/>
      <c r="AA67" s="250" t="s">
        <v>138</v>
      </c>
      <c r="AB67" s="253"/>
      <c r="AC67" s="252"/>
      <c r="AD67" s="250" t="s">
        <v>139</v>
      </c>
      <c r="AE67" s="253"/>
      <c r="AF67" s="252"/>
      <c r="AG67" s="250" t="s">
        <v>169</v>
      </c>
      <c r="AH67" s="253"/>
      <c r="AI67" s="252"/>
      <c r="AJ67" s="250" t="s">
        <v>199</v>
      </c>
      <c r="AK67" s="253"/>
      <c r="AL67" s="252"/>
      <c r="AM67" s="236"/>
      <c r="AQ67" s="236"/>
    </row>
    <row r="68" spans="1:61" ht="13.5" thickBot="1">
      <c r="A68" s="254"/>
      <c r="B68" s="247" t="s">
        <v>140</v>
      </c>
      <c r="C68" s="247">
        <v>306.31</v>
      </c>
      <c r="D68" s="247">
        <v>306.31</v>
      </c>
      <c r="E68" s="255">
        <v>12865.02</v>
      </c>
      <c r="F68" s="247">
        <v>327.72</v>
      </c>
      <c r="G68" s="247">
        <v>327.72</v>
      </c>
      <c r="H68" s="255">
        <v>13764.240000000002</v>
      </c>
      <c r="I68" s="255">
        <v>348.98902800000002</v>
      </c>
      <c r="J68" s="255">
        <v>348.98902800000002</v>
      </c>
      <c r="K68" s="255">
        <v>14657.539176</v>
      </c>
      <c r="L68" s="255">
        <v>368.18342454000003</v>
      </c>
      <c r="M68" s="255">
        <v>368.18342454000003</v>
      </c>
      <c r="N68" s="255">
        <v>15463.703830680002</v>
      </c>
      <c r="O68" s="255">
        <v>386.04032063019002</v>
      </c>
      <c r="P68" s="255">
        <v>386.04032063019002</v>
      </c>
      <c r="Q68" s="255">
        <v>16213.693466467981</v>
      </c>
      <c r="R68" s="255">
        <v>386.04032063019002</v>
      </c>
      <c r="S68" s="255">
        <v>386.04032063019002</v>
      </c>
      <c r="T68" s="255">
        <v>16213.693466467981</v>
      </c>
      <c r="U68" s="255">
        <v>403.33492699442252</v>
      </c>
      <c r="V68" s="255">
        <v>403.33492699442252</v>
      </c>
      <c r="W68" s="255">
        <v>16940.066933765745</v>
      </c>
      <c r="X68" s="255">
        <v>426.28468434040514</v>
      </c>
      <c r="Y68" s="255">
        <v>426.28468434040514</v>
      </c>
      <c r="Z68" s="255">
        <v>17903.956742297014</v>
      </c>
      <c r="AA68" s="255">
        <v>458.98071962931419</v>
      </c>
      <c r="AB68" s="255">
        <v>458.98071962931419</v>
      </c>
      <c r="AC68" s="255">
        <v>19277.190224431197</v>
      </c>
      <c r="AD68" s="255">
        <v>468.16</v>
      </c>
      <c r="AE68" s="255">
        <v>468.16</v>
      </c>
      <c r="AF68" s="255">
        <f>AE68*42</f>
        <v>19662.72</v>
      </c>
      <c r="AG68" s="255">
        <f>AD68*(1+$AI$66)</f>
        <v>483.00067200000007</v>
      </c>
      <c r="AH68" s="255">
        <f>AE68*(1+$AI$66)</f>
        <v>483.00067200000007</v>
      </c>
      <c r="AI68" s="255">
        <f>AH68*42</f>
        <v>20286.028224000002</v>
      </c>
      <c r="AJ68" s="255">
        <f>AG68*(1+$AL$66)</f>
        <v>501.01659706560014</v>
      </c>
      <c r="AK68" s="255">
        <f>AH68*(1+$AL$66)</f>
        <v>501.01659706560014</v>
      </c>
      <c r="AL68" s="255">
        <f>AK68*42</f>
        <v>21042.697076755205</v>
      </c>
      <c r="AM68" s="236"/>
      <c r="AQ68" s="236"/>
    </row>
    <row r="69" spans="1:61" ht="13.5" thickBot="1">
      <c r="A69" s="254"/>
      <c r="B69" s="247" t="s">
        <v>141</v>
      </c>
      <c r="C69" s="256"/>
      <c r="D69" s="239"/>
      <c r="E69" s="257"/>
      <c r="F69" s="248" t="s">
        <v>142</v>
      </c>
      <c r="G69" s="253"/>
      <c r="H69" s="258"/>
      <c r="I69" s="248" t="s">
        <v>133</v>
      </c>
      <c r="J69" s="259"/>
      <c r="K69" s="258"/>
      <c r="L69" s="248" t="s">
        <v>134</v>
      </c>
      <c r="M69" s="259"/>
      <c r="N69" s="258"/>
      <c r="O69" s="248" t="s">
        <v>134</v>
      </c>
      <c r="P69" s="259"/>
      <c r="Q69" s="258"/>
      <c r="R69" s="248" t="s">
        <v>135</v>
      </c>
      <c r="S69" s="259"/>
      <c r="T69" s="258"/>
      <c r="U69" s="248" t="s">
        <v>136</v>
      </c>
      <c r="V69" s="259"/>
      <c r="W69" s="258"/>
      <c r="X69" s="250" t="s">
        <v>137</v>
      </c>
      <c r="Y69" s="259"/>
      <c r="Z69" s="258"/>
      <c r="AA69" s="250" t="s">
        <v>138</v>
      </c>
      <c r="AB69" s="259"/>
      <c r="AC69" s="258"/>
      <c r="AD69" s="250" t="s">
        <v>139</v>
      </c>
      <c r="AE69" s="259"/>
      <c r="AF69" s="258"/>
      <c r="AG69" s="250" t="s">
        <v>169</v>
      </c>
      <c r="AH69" s="259"/>
      <c r="AI69" s="258"/>
      <c r="AJ69" s="250" t="s">
        <v>199</v>
      </c>
      <c r="AK69" s="259"/>
      <c r="AL69" s="258"/>
      <c r="AM69" s="378"/>
      <c r="AQ69" s="378"/>
    </row>
    <row r="70" spans="1:61" ht="13.5" thickBot="1">
      <c r="A70" s="247"/>
      <c r="B70" s="247" t="s">
        <v>143</v>
      </c>
      <c r="C70" s="256"/>
      <c r="D70" s="239"/>
      <c r="E70" s="260"/>
      <c r="F70" s="255">
        <v>323</v>
      </c>
      <c r="G70" s="255">
        <v>323</v>
      </c>
      <c r="H70" s="255">
        <v>13566</v>
      </c>
      <c r="I70" s="255">
        <v>343.96269999999998</v>
      </c>
      <c r="J70" s="255">
        <v>343.96269999999998</v>
      </c>
      <c r="K70" s="255">
        <v>14446.4334</v>
      </c>
      <c r="L70" s="255">
        <v>362.88064850000001</v>
      </c>
      <c r="M70" s="255">
        <v>362.88064850000001</v>
      </c>
      <c r="N70" s="255">
        <v>15240.987237000001</v>
      </c>
      <c r="O70" s="255">
        <v>380.48035995225001</v>
      </c>
      <c r="P70" s="255">
        <v>380.48035995225001</v>
      </c>
      <c r="Q70" s="255">
        <v>15980.1751179945</v>
      </c>
      <c r="R70" s="255">
        <v>380.48035995225001</v>
      </c>
      <c r="S70" s="255">
        <v>380.48035995225001</v>
      </c>
      <c r="T70" s="255">
        <v>15980.1751179945</v>
      </c>
      <c r="U70" s="255">
        <v>397.52588007811079</v>
      </c>
      <c r="V70" s="255">
        <v>397.52588007811079</v>
      </c>
      <c r="W70" s="255">
        <v>16696.086963280653</v>
      </c>
      <c r="X70" s="255">
        <v>420.14510265455527</v>
      </c>
      <c r="Y70" s="255">
        <v>420.14510265455527</v>
      </c>
      <c r="Z70" s="255">
        <v>17646.094311491321</v>
      </c>
      <c r="AA70" s="255">
        <v>452.37023202815965</v>
      </c>
      <c r="AB70" s="255">
        <v>452.37023202815965</v>
      </c>
      <c r="AC70" s="255">
        <v>18999.549745182707</v>
      </c>
      <c r="AD70" s="255">
        <v>461.42</v>
      </c>
      <c r="AE70" s="255">
        <v>461.42</v>
      </c>
      <c r="AF70" s="255">
        <f>AE70*42</f>
        <v>19379.64</v>
      </c>
      <c r="AG70" s="255">
        <f>AD70*(1+$AI$66)</f>
        <v>476.04701400000005</v>
      </c>
      <c r="AH70" s="255">
        <f>AE70*(1+$AI$66)</f>
        <v>476.04701400000005</v>
      </c>
      <c r="AI70" s="255">
        <f>AH70*42</f>
        <v>19993.974588000001</v>
      </c>
      <c r="AJ70" s="255">
        <f>AG70*(1+$AL$66)</f>
        <v>493.80356762220009</v>
      </c>
      <c r="AK70" s="255">
        <f>AH70*(1+$AL$66)</f>
        <v>493.80356762220009</v>
      </c>
      <c r="AL70" s="255">
        <f>AK70*42</f>
        <v>20739.749840132405</v>
      </c>
      <c r="AM70" s="190"/>
      <c r="AQ70" s="190"/>
    </row>
    <row r="71" spans="1:61" ht="24.75" thickBot="1">
      <c r="A71" s="189"/>
      <c r="B71" s="247" t="s">
        <v>141</v>
      </c>
      <c r="C71" s="189"/>
      <c r="D71" s="189"/>
      <c r="E71" s="234"/>
      <c r="F71" s="189"/>
      <c r="G71" s="189"/>
      <c r="H71" s="234"/>
      <c r="I71" s="234"/>
      <c r="J71" s="234"/>
      <c r="K71" s="234"/>
      <c r="L71" s="190"/>
      <c r="M71" s="190"/>
      <c r="N71" s="261"/>
      <c r="O71" s="190"/>
      <c r="P71" s="190"/>
      <c r="Q71" s="261"/>
      <c r="T71" s="261"/>
      <c r="W71" s="261"/>
      <c r="Z71" s="261"/>
      <c r="AC71" s="261"/>
      <c r="AE71" s="190"/>
      <c r="AF71" s="261"/>
      <c r="AM71" s="379" t="s">
        <v>274</v>
      </c>
      <c r="AN71" s="400" t="s">
        <v>277</v>
      </c>
      <c r="AO71" s="401"/>
      <c r="AP71" s="402">
        <v>2.4400000000000002E-2</v>
      </c>
      <c r="AQ71" s="379" t="s">
        <v>274</v>
      </c>
      <c r="AR71" s="400" t="s">
        <v>343</v>
      </c>
      <c r="AS71" s="401"/>
      <c r="AT71" s="402">
        <v>1.9400000000000001E-2</v>
      </c>
      <c r="AU71" s="400" t="s">
        <v>344</v>
      </c>
      <c r="AV71" s="401"/>
      <c r="AW71" s="402">
        <v>3.6600000000000001E-2</v>
      </c>
      <c r="AX71" s="400" t="s">
        <v>357</v>
      </c>
      <c r="AY71" s="401"/>
      <c r="AZ71" s="402">
        <v>6.7699999999999996E-2</v>
      </c>
      <c r="BA71" s="400" t="s">
        <v>373</v>
      </c>
      <c r="BB71" s="401"/>
      <c r="BC71" s="402">
        <v>5.7500000000000002E-2</v>
      </c>
      <c r="BD71" s="400" t="s">
        <v>373</v>
      </c>
      <c r="BE71" s="401"/>
      <c r="BF71" s="402">
        <v>5.7500000000000002E-2</v>
      </c>
      <c r="BG71" s="400" t="s">
        <v>373</v>
      </c>
      <c r="BH71" s="401"/>
      <c r="BI71" s="402">
        <v>5.7500000000000002E-2</v>
      </c>
    </row>
    <row r="72" spans="1:61" ht="14.25" thickTop="1" thickBot="1">
      <c r="A72" s="262"/>
      <c r="B72" s="263" t="s">
        <v>144</v>
      </c>
      <c r="C72" s="264" t="s">
        <v>145</v>
      </c>
      <c r="D72" s="262"/>
      <c r="E72" s="265"/>
      <c r="F72" s="264" t="s">
        <v>142</v>
      </c>
      <c r="G72" s="266"/>
      <c r="H72" s="267"/>
      <c r="I72" s="268" t="s">
        <v>146</v>
      </c>
      <c r="J72" s="269"/>
      <c r="K72" s="269"/>
      <c r="L72" s="190"/>
      <c r="M72" s="190"/>
      <c r="N72" s="190"/>
      <c r="O72" s="190"/>
      <c r="P72" s="190"/>
      <c r="Q72" s="190"/>
      <c r="AD72" s="270"/>
      <c r="AE72" s="190"/>
      <c r="AF72" s="190"/>
      <c r="AM72" s="380" t="s">
        <v>130</v>
      </c>
      <c r="AN72" s="726" t="s">
        <v>278</v>
      </c>
      <c r="AO72" s="726"/>
      <c r="AP72" s="727"/>
      <c r="AQ72" s="380" t="s">
        <v>130</v>
      </c>
      <c r="AR72" s="726" t="s">
        <v>278</v>
      </c>
      <c r="AS72" s="726"/>
      <c r="AT72" s="727"/>
      <c r="AU72" s="726" t="s">
        <v>278</v>
      </c>
      <c r="AV72" s="726"/>
      <c r="AW72" s="727"/>
      <c r="AX72" s="726" t="s">
        <v>278</v>
      </c>
      <c r="AY72" s="726"/>
      <c r="AZ72" s="727"/>
      <c r="BA72" s="726" t="s">
        <v>278</v>
      </c>
      <c r="BB72" s="726"/>
      <c r="BC72" s="727"/>
      <c r="BD72" s="726" t="s">
        <v>278</v>
      </c>
      <c r="BE72" s="726"/>
      <c r="BF72" s="727"/>
      <c r="BG72" s="726" t="s">
        <v>278</v>
      </c>
      <c r="BH72" s="726"/>
      <c r="BI72" s="727"/>
    </row>
    <row r="73" spans="1:61" ht="14.25" thickTop="1" thickBot="1">
      <c r="A73" s="271"/>
      <c r="B73" s="262" t="s">
        <v>147</v>
      </c>
      <c r="C73" s="272">
        <v>320.31</v>
      </c>
      <c r="D73" s="272">
        <v>320.31</v>
      </c>
      <c r="E73" s="273">
        <v>13453.02</v>
      </c>
      <c r="F73" s="273">
        <v>297.03999999999996</v>
      </c>
      <c r="G73" s="273">
        <v>297.03999999999996</v>
      </c>
      <c r="H73" s="273">
        <v>12475.679999999998</v>
      </c>
      <c r="I73" s="265">
        <v>299.55292800000001</v>
      </c>
      <c r="J73" s="265">
        <v>299.55292800000001</v>
      </c>
      <c r="K73" s="265">
        <v>12581.222976000001</v>
      </c>
      <c r="L73" s="190"/>
      <c r="M73" s="190"/>
      <c r="N73" s="190"/>
      <c r="O73" s="190"/>
      <c r="P73" s="190"/>
      <c r="Q73" s="190"/>
      <c r="AE73" s="190"/>
      <c r="AF73" s="190"/>
      <c r="AM73" s="381" t="s">
        <v>140</v>
      </c>
      <c r="AN73" s="403">
        <v>513.24140203400077</v>
      </c>
      <c r="AO73" s="403">
        <v>513.24140203400077</v>
      </c>
      <c r="AP73" s="404">
        <v>21556.13888542803</v>
      </c>
      <c r="AQ73" s="381" t="s">
        <v>140</v>
      </c>
      <c r="AR73" s="403">
        <f>AN73*(1+$AT$71)</f>
        <v>523.19828523346041</v>
      </c>
      <c r="AS73" s="403">
        <f>AO73*(1+$AT$71)</f>
        <v>523.19828523346041</v>
      </c>
      <c r="AT73" s="403">
        <f>AP73*(1+$AT$71)</f>
        <v>21974.327979805337</v>
      </c>
      <c r="AU73" s="403">
        <f>AR73*(1+$AW$71)</f>
        <v>542.34734247300503</v>
      </c>
      <c r="AV73" s="403">
        <f>AS73*(1+$AW$71)</f>
        <v>542.34734247300503</v>
      </c>
      <c r="AW73" s="403">
        <f>AT73*(1+$AW$71)</f>
        <v>22778.588383866212</v>
      </c>
      <c r="AX73" s="403">
        <f>AU73*(1+$AZ$71)</f>
        <v>579.06425755842747</v>
      </c>
      <c r="AY73" s="403">
        <f>AV73*(1+$AZ$71)</f>
        <v>579.06425755842747</v>
      </c>
      <c r="AZ73" s="403">
        <f>AW73*(1+$AZ$71)</f>
        <v>24320.698817453958</v>
      </c>
      <c r="BA73" s="403">
        <f t="shared" ref="BA73:BF73" si="35">AX73*(1+$BC$71)</f>
        <v>612.36045236803716</v>
      </c>
      <c r="BB73" s="403">
        <f t="shared" si="35"/>
        <v>612.36045236803716</v>
      </c>
      <c r="BC73" s="403">
        <f t="shared" si="35"/>
        <v>25719.138999457562</v>
      </c>
      <c r="BD73" s="403">
        <f t="shared" si="35"/>
        <v>647.57117837919941</v>
      </c>
      <c r="BE73" s="403">
        <f t="shared" si="35"/>
        <v>647.57117837919941</v>
      </c>
      <c r="BF73" s="403">
        <f t="shared" si="35"/>
        <v>27197.989491926375</v>
      </c>
      <c r="BG73" s="403">
        <f>BD73*(1+$BC$71)</f>
        <v>684.80652113600343</v>
      </c>
      <c r="BH73" s="403">
        <f>BE73*(1+$BC$71)</f>
        <v>684.80652113600343</v>
      </c>
      <c r="BI73" s="403">
        <f>BF73*(1+$BC$71)</f>
        <v>28761.873887712143</v>
      </c>
    </row>
    <row r="74" spans="1:61" ht="14.25" thickTop="1" thickBot="1">
      <c r="A74" s="274"/>
      <c r="B74" s="275" t="s">
        <v>130</v>
      </c>
      <c r="C74" s="189"/>
      <c r="D74" s="189"/>
      <c r="E74" s="234"/>
      <c r="F74" s="234"/>
      <c r="G74" s="234"/>
      <c r="H74" s="234"/>
      <c r="I74" s="276" t="s">
        <v>148</v>
      </c>
      <c r="J74" s="277"/>
      <c r="K74" s="278"/>
      <c r="L74" s="276" t="s">
        <v>149</v>
      </c>
      <c r="M74" s="277"/>
      <c r="N74" s="278"/>
      <c r="O74" s="276" t="s">
        <v>149</v>
      </c>
      <c r="P74" s="277"/>
      <c r="Q74" s="278"/>
      <c r="R74" s="276" t="s">
        <v>135</v>
      </c>
      <c r="S74" s="277"/>
      <c r="T74" s="278"/>
      <c r="U74" s="276" t="s">
        <v>136</v>
      </c>
      <c r="V74" s="277"/>
      <c r="W74" s="278"/>
      <c r="X74" s="279" t="s">
        <v>137</v>
      </c>
      <c r="Y74" s="277"/>
      <c r="Z74" s="278"/>
      <c r="AA74" s="279" t="s">
        <v>138</v>
      </c>
      <c r="AB74" s="277"/>
      <c r="AC74" s="278"/>
      <c r="AD74" s="279" t="s">
        <v>139</v>
      </c>
      <c r="AE74" s="277"/>
      <c r="AF74" s="278"/>
      <c r="AG74" s="279" t="s">
        <v>169</v>
      </c>
      <c r="AH74" s="277"/>
      <c r="AI74" s="278"/>
      <c r="AJ74" s="279" t="s">
        <v>199</v>
      </c>
      <c r="AK74" s="277"/>
      <c r="AL74" s="278"/>
      <c r="AM74" s="381" t="s">
        <v>141</v>
      </c>
      <c r="AN74" s="713" t="s">
        <v>279</v>
      </c>
      <c r="AO74" s="713"/>
      <c r="AP74" s="714"/>
      <c r="AQ74" s="381" t="s">
        <v>141</v>
      </c>
      <c r="AR74" s="713"/>
      <c r="AS74" s="713"/>
      <c r="AT74" s="714"/>
      <c r="AU74" s="713"/>
      <c r="AV74" s="713"/>
      <c r="AW74" s="714"/>
      <c r="AX74" s="713"/>
      <c r="AY74" s="713"/>
      <c r="AZ74" s="714"/>
      <c r="BA74" s="713"/>
      <c r="BB74" s="713"/>
      <c r="BC74" s="714"/>
      <c r="BD74" s="713"/>
      <c r="BE74" s="713"/>
      <c r="BF74" s="714"/>
      <c r="BG74" s="713"/>
      <c r="BH74" s="713"/>
      <c r="BI74" s="714"/>
    </row>
    <row r="75" spans="1:61" ht="14.25" thickTop="1" thickBot="1">
      <c r="A75" s="280"/>
      <c r="B75" s="281" t="s">
        <v>141</v>
      </c>
      <c r="C75" s="282"/>
      <c r="D75" s="282"/>
      <c r="E75" s="283"/>
      <c r="F75" s="283"/>
      <c r="G75" s="283"/>
      <c r="H75" s="283"/>
      <c r="I75" s="273">
        <v>313.76052800000002</v>
      </c>
      <c r="J75" s="284">
        <v>313.76052800000002</v>
      </c>
      <c r="K75" s="285">
        <v>13177.942176</v>
      </c>
      <c r="L75" s="273">
        <v>329.66471903999997</v>
      </c>
      <c r="M75" s="284">
        <v>329.66471903999997</v>
      </c>
      <c r="N75" s="285">
        <v>13845.918199679998</v>
      </c>
      <c r="O75" s="273">
        <v>344.64763738343999</v>
      </c>
      <c r="P75" s="284">
        <v>344.64763738343999</v>
      </c>
      <c r="Q75" s="285">
        <v>14475.200770104479</v>
      </c>
      <c r="R75" s="273">
        <v>344.64763738343999</v>
      </c>
      <c r="S75" s="284">
        <v>344.64763738343999</v>
      </c>
      <c r="T75" s="285">
        <v>14475.200770104479</v>
      </c>
      <c r="U75" s="273">
        <v>358.65642186221817</v>
      </c>
      <c r="V75" s="284">
        <v>358.65642186221817</v>
      </c>
      <c r="W75" s="285">
        <v>15063.569718213163</v>
      </c>
      <c r="X75" s="273">
        <v>373.79802924783672</v>
      </c>
      <c r="Y75" s="284">
        <v>373.79802924783672</v>
      </c>
      <c r="Z75" s="285">
        <v>15699.517228409142</v>
      </c>
      <c r="AA75" s="273">
        <v>393.82793640870153</v>
      </c>
      <c r="AB75" s="284">
        <v>393.82793640870153</v>
      </c>
      <c r="AC75" s="285">
        <v>16540.773329165466</v>
      </c>
      <c r="AD75" s="273">
        <f>38.72*1.0649*1.055*1.0485*1.0448*1.0569*1.0767*1.02+AE40</f>
        <v>405.09297489725367</v>
      </c>
      <c r="AE75" s="284">
        <f>AD75</f>
        <v>405.09297489725367</v>
      </c>
      <c r="AF75" s="285">
        <f>AE75*42</f>
        <v>17013.904945684655</v>
      </c>
      <c r="AG75" s="273">
        <f>38.72*1.0649*1.055*1.0485*1.0448*1.0569*1.0767*1.02*1.0317+AH40</f>
        <v>417.33979620149665</v>
      </c>
      <c r="AH75" s="284">
        <f>AG75</f>
        <v>417.33979620149665</v>
      </c>
      <c r="AI75" s="285">
        <f>AH75*42</f>
        <v>17528.27144046286</v>
      </c>
      <c r="AJ75" s="273">
        <f>38.72*1.0649*1.055*1.0485*1.0448*1.0569*1.0767*1.02*1.0317*1.0373+AK40</f>
        <v>430.27657477981245</v>
      </c>
      <c r="AK75" s="284">
        <f>AJ75</f>
        <v>430.27657477981245</v>
      </c>
      <c r="AL75" s="285">
        <f>AK75*42</f>
        <v>18071.616140752121</v>
      </c>
      <c r="AM75" s="381" t="s">
        <v>143</v>
      </c>
      <c r="AN75" s="403">
        <v>505.85237467218178</v>
      </c>
      <c r="AO75" s="403">
        <v>505.85237467218178</v>
      </c>
      <c r="AP75" s="404">
        <v>21245.799736231635</v>
      </c>
      <c r="AQ75" s="381" t="s">
        <v>143</v>
      </c>
      <c r="AR75" s="403">
        <f>AN75*(1+$AT$71)</f>
        <v>515.66591074082214</v>
      </c>
      <c r="AS75" s="403">
        <f>AO75*(1+$AT$71)</f>
        <v>515.66591074082214</v>
      </c>
      <c r="AT75" s="403">
        <f>AP75*(1+$AT$71)</f>
        <v>21657.968251114529</v>
      </c>
      <c r="AU75" s="403">
        <f>AR75*(1+$AW$71)</f>
        <v>534.53928307393619</v>
      </c>
      <c r="AV75" s="403">
        <f>AS75*(1+$AW$71)</f>
        <v>534.53928307393619</v>
      </c>
      <c r="AW75" s="403">
        <f>AT75*(1+$AW$71)</f>
        <v>22450.64988910532</v>
      </c>
      <c r="AX75" s="403">
        <f>AU75*(1+$AZ$71)</f>
        <v>570.72759253804168</v>
      </c>
      <c r="AY75" s="403">
        <f>AV75*(1+$AZ$71)</f>
        <v>570.72759253804168</v>
      </c>
      <c r="AZ75" s="403">
        <f>AW75*(1+$AZ$71)</f>
        <v>23970.558886597752</v>
      </c>
      <c r="BA75" s="403">
        <f t="shared" ref="BA75:BF75" si="36">AX75*(1+$BC$71)</f>
        <v>603.5444291089791</v>
      </c>
      <c r="BB75" s="403">
        <f t="shared" si="36"/>
        <v>603.5444291089791</v>
      </c>
      <c r="BC75" s="403">
        <f t="shared" si="36"/>
        <v>25348.866022577124</v>
      </c>
      <c r="BD75" s="403">
        <f t="shared" si="36"/>
        <v>638.2482337827455</v>
      </c>
      <c r="BE75" s="403">
        <f t="shared" si="36"/>
        <v>638.2482337827455</v>
      </c>
      <c r="BF75" s="403">
        <f t="shared" si="36"/>
        <v>26806.425818875312</v>
      </c>
      <c r="BG75" s="403">
        <f>BD75*(1+$BC$71)</f>
        <v>674.94750722525339</v>
      </c>
      <c r="BH75" s="403">
        <f>BE75*(1+$BC$71)</f>
        <v>674.94750722525339</v>
      </c>
      <c r="BI75" s="403">
        <f>BF75*(1+$BC$71)</f>
        <v>28347.795303460643</v>
      </c>
    </row>
    <row r="76" spans="1:61" ht="12.75" customHeight="1" thickTop="1">
      <c r="A76" s="286"/>
      <c r="B76" s="287" t="s">
        <v>150</v>
      </c>
      <c r="C76" s="190"/>
      <c r="D76" s="190"/>
      <c r="E76" s="190"/>
      <c r="G76" s="190"/>
      <c r="H76" s="190"/>
      <c r="I76" s="270">
        <v>41.232927999999994</v>
      </c>
      <c r="J76" s="190"/>
      <c r="K76" s="190"/>
      <c r="L76" s="270">
        <v>43.500739039999992</v>
      </c>
      <c r="M76" s="190"/>
      <c r="N76" s="190"/>
      <c r="O76" s="270">
        <v>45.610524883439993</v>
      </c>
      <c r="P76" s="190"/>
      <c r="Q76" s="190"/>
      <c r="R76" s="270">
        <v>45.610524883439993</v>
      </c>
      <c r="U76" s="270">
        <v>47.653876398218102</v>
      </c>
      <c r="X76" s="270">
        <v>50.355381965276713</v>
      </c>
      <c r="AA76" s="270">
        <v>54.227639762013432</v>
      </c>
      <c r="AD76" s="270">
        <v>55.31</v>
      </c>
      <c r="AE76" s="190"/>
      <c r="AF76" s="190"/>
      <c r="AG76" s="288">
        <f>AD76*(1+AI66)</f>
        <v>57.063327000000008</v>
      </c>
      <c r="AJ76" s="406">
        <f>AG76*(1+AL66)</f>
        <v>59.191789097100013</v>
      </c>
      <c r="AM76" s="381" t="s">
        <v>141</v>
      </c>
      <c r="AN76" s="704"/>
      <c r="AO76" s="705"/>
      <c r="AP76" s="706"/>
      <c r="AQ76" s="381" t="s">
        <v>141</v>
      </c>
      <c r="AR76" s="704"/>
      <c r="AS76" s="705"/>
      <c r="AT76" s="706"/>
      <c r="AU76" s="704"/>
      <c r="AV76" s="705"/>
      <c r="AW76" s="706"/>
      <c r="AX76" s="704"/>
      <c r="AY76" s="705"/>
      <c r="AZ76" s="706"/>
      <c r="BA76" s="704"/>
      <c r="BB76" s="705"/>
      <c r="BC76" s="706"/>
      <c r="BD76" s="704"/>
      <c r="BE76" s="705"/>
      <c r="BF76" s="706"/>
      <c r="BG76" s="704"/>
      <c r="BH76" s="705"/>
      <c r="BI76" s="706"/>
    </row>
    <row r="77" spans="1:61">
      <c r="A77" s="289" t="s">
        <v>151</v>
      </c>
      <c r="B77" s="190"/>
      <c r="C77" s="190"/>
      <c r="D77" s="190"/>
      <c r="E77" s="190"/>
      <c r="F77" s="261"/>
      <c r="G77" s="190"/>
      <c r="H77" s="190"/>
      <c r="I77" s="190"/>
      <c r="J77" s="190"/>
      <c r="K77" s="190"/>
      <c r="L77" s="190"/>
      <c r="M77" s="190"/>
      <c r="N77" s="190"/>
      <c r="O77" s="190"/>
      <c r="P77" s="190"/>
      <c r="Q77" s="190"/>
      <c r="AM77" s="382" t="s">
        <v>144</v>
      </c>
      <c r="AN77" s="707"/>
      <c r="AO77" s="708"/>
      <c r="AP77" s="709"/>
      <c r="AQ77" s="382" t="s">
        <v>144</v>
      </c>
      <c r="AR77" s="707"/>
      <c r="AS77" s="708"/>
      <c r="AT77" s="709"/>
      <c r="AU77" s="707"/>
      <c r="AV77" s="708"/>
      <c r="AW77" s="709"/>
      <c r="AX77" s="707"/>
      <c r="AY77" s="708"/>
      <c r="AZ77" s="709"/>
      <c r="BA77" s="707"/>
      <c r="BB77" s="708"/>
      <c r="BC77" s="709"/>
      <c r="BD77" s="707"/>
      <c r="BE77" s="708"/>
      <c r="BF77" s="709"/>
      <c r="BG77" s="707"/>
      <c r="BH77" s="708"/>
      <c r="BI77" s="709"/>
    </row>
    <row r="78" spans="1:61">
      <c r="A78" s="289" t="s">
        <v>152</v>
      </c>
      <c r="B78" s="190"/>
      <c r="C78" s="190"/>
      <c r="D78" s="190"/>
      <c r="E78" s="190"/>
      <c r="F78" s="261"/>
      <c r="G78" s="190"/>
      <c r="H78" s="190"/>
      <c r="I78" s="190"/>
      <c r="J78" s="190"/>
      <c r="K78" s="190"/>
      <c r="L78" s="290"/>
      <c r="M78" s="190"/>
      <c r="N78" s="190"/>
      <c r="O78" s="291"/>
      <c r="P78" s="190"/>
      <c r="Q78" s="190"/>
      <c r="AC78" s="292"/>
      <c r="AM78" s="381" t="s">
        <v>147</v>
      </c>
      <c r="AN78" s="710"/>
      <c r="AO78" s="711"/>
      <c r="AP78" s="712"/>
      <c r="AQ78" s="381" t="s">
        <v>147</v>
      </c>
      <c r="AR78" s="710"/>
      <c r="AS78" s="711"/>
      <c r="AT78" s="712"/>
      <c r="AU78" s="710"/>
      <c r="AV78" s="711"/>
      <c r="AW78" s="712"/>
      <c r="AX78" s="710"/>
      <c r="AY78" s="711"/>
      <c r="AZ78" s="712"/>
      <c r="BA78" s="710"/>
      <c r="BB78" s="711"/>
      <c r="BC78" s="712"/>
      <c r="BD78" s="710"/>
      <c r="BE78" s="711"/>
      <c r="BF78" s="712"/>
      <c r="BG78" s="710"/>
      <c r="BH78" s="711"/>
      <c r="BI78" s="712"/>
    </row>
    <row r="79" spans="1:61">
      <c r="A79" s="286"/>
      <c r="B79" s="190"/>
      <c r="C79" s="190"/>
      <c r="D79" s="190"/>
      <c r="E79" s="190"/>
      <c r="F79" s="190"/>
      <c r="G79" s="190"/>
      <c r="H79" s="190"/>
      <c r="I79" s="190"/>
      <c r="J79" s="190"/>
      <c r="K79" s="190"/>
      <c r="L79" s="190"/>
      <c r="M79" s="190"/>
      <c r="N79" s="190"/>
      <c r="O79" s="190"/>
      <c r="P79" s="190"/>
      <c r="Q79" s="190"/>
      <c r="AC79" s="270"/>
      <c r="AM79" s="381" t="s">
        <v>130</v>
      </c>
      <c r="AN79" s="713" t="s">
        <v>279</v>
      </c>
      <c r="AO79" s="713"/>
      <c r="AP79" s="714"/>
      <c r="AQ79" s="381" t="s">
        <v>130</v>
      </c>
      <c r="AR79" s="713"/>
      <c r="AS79" s="713"/>
      <c r="AT79" s="714"/>
      <c r="AU79" s="713"/>
      <c r="AV79" s="713"/>
      <c r="AW79" s="714"/>
      <c r="AX79" s="713"/>
      <c r="AY79" s="713"/>
      <c r="AZ79" s="714"/>
      <c r="BA79" s="713"/>
      <c r="BB79" s="713"/>
      <c r="BC79" s="714"/>
      <c r="BD79" s="713"/>
      <c r="BE79" s="713"/>
      <c r="BF79" s="714"/>
      <c r="BG79" s="713"/>
      <c r="BH79" s="713"/>
      <c r="BI79" s="714"/>
    </row>
    <row r="80" spans="1:61">
      <c r="A80" s="190"/>
      <c r="B80" s="190"/>
      <c r="C80" s="190"/>
      <c r="D80" s="190"/>
      <c r="E80" s="190"/>
      <c r="F80" s="190"/>
      <c r="G80" s="190"/>
      <c r="H80" s="190"/>
      <c r="I80" s="190"/>
      <c r="J80" s="190"/>
      <c r="K80" s="190"/>
      <c r="L80" s="190"/>
      <c r="M80" s="190"/>
      <c r="N80" s="190"/>
      <c r="O80" s="190"/>
      <c r="P80" s="190"/>
      <c r="Q80" s="190"/>
      <c r="AM80" s="381" t="s">
        <v>141</v>
      </c>
      <c r="AN80" s="403">
        <v>442.85011881106925</v>
      </c>
      <c r="AO80" s="403">
        <v>442.85011881106925</v>
      </c>
      <c r="AP80" s="404">
        <v>18599.704990064907</v>
      </c>
      <c r="AQ80" s="381" t="s">
        <v>141</v>
      </c>
      <c r="AR80" s="403">
        <f>AN80*(1+$AT$71)</f>
        <v>451.44141111600402</v>
      </c>
      <c r="AS80" s="403">
        <f>AO80*(1+$AT$71)</f>
        <v>451.44141111600402</v>
      </c>
      <c r="AT80" s="403">
        <f>AP80*(1+$AT$71)</f>
        <v>18960.539266872169</v>
      </c>
      <c r="AU80" s="403">
        <f>AR80*(1+$AW$71)</f>
        <v>467.96416676284974</v>
      </c>
      <c r="AV80" s="403">
        <f>AS80*(1+$AW$71)</f>
        <v>467.96416676284974</v>
      </c>
      <c r="AW80" s="403">
        <f>AT80*(1+$AW$71)</f>
        <v>19654.495004039691</v>
      </c>
      <c r="AX80" s="403">
        <f>AU80*(1+$AZ$71)</f>
        <v>499.64534085269469</v>
      </c>
      <c r="AY80" s="403">
        <f>AV80*(1+$AZ$71)</f>
        <v>499.64534085269469</v>
      </c>
      <c r="AZ80" s="403">
        <f>AW80*(1+$AZ$71)</f>
        <v>20985.10431581318</v>
      </c>
      <c r="BA80" s="403">
        <f t="shared" ref="BA80:BF80" si="37">AX80*(1+$BC$71)</f>
        <v>528.37494795172472</v>
      </c>
      <c r="BB80" s="403">
        <f t="shared" si="37"/>
        <v>528.37494795172472</v>
      </c>
      <c r="BC80" s="403">
        <f t="shared" si="37"/>
        <v>22191.747813972441</v>
      </c>
      <c r="BD80" s="403">
        <f t="shared" si="37"/>
        <v>558.75650745894893</v>
      </c>
      <c r="BE80" s="403">
        <f t="shared" si="37"/>
        <v>558.75650745894893</v>
      </c>
      <c r="BF80" s="403">
        <f t="shared" si="37"/>
        <v>23467.773313275859</v>
      </c>
      <c r="BG80" s="403">
        <f>BD80*(1+$BC$71)</f>
        <v>590.8850066378385</v>
      </c>
      <c r="BH80" s="403">
        <f>BE80*(1+$BC$71)</f>
        <v>590.8850066378385</v>
      </c>
      <c r="BI80" s="403">
        <f>BF80*(1+$BC$71)</f>
        <v>24817.170278789225</v>
      </c>
    </row>
    <row r="81" spans="1:61" ht="14.25" customHeight="1" thickBot="1">
      <c r="A81" s="190"/>
      <c r="B81" s="190"/>
      <c r="C81" s="190"/>
      <c r="D81" s="190"/>
      <c r="E81" s="190"/>
      <c r="F81" s="190"/>
      <c r="G81" s="190"/>
      <c r="H81" s="190"/>
      <c r="I81" s="190"/>
      <c r="J81" s="190"/>
      <c r="K81" s="190"/>
      <c r="L81" s="190"/>
      <c r="M81" s="190"/>
      <c r="N81" s="190"/>
      <c r="O81" s="190"/>
      <c r="P81" s="190"/>
      <c r="Q81" s="190"/>
      <c r="Z81" s="737" t="s">
        <v>153</v>
      </c>
      <c r="AA81" s="737"/>
      <c r="AD81" s="737" t="s">
        <v>154</v>
      </c>
      <c r="AE81" s="737"/>
      <c r="AG81" s="737" t="s">
        <v>200</v>
      </c>
      <c r="AH81" s="737"/>
      <c r="AJ81" s="737" t="s">
        <v>200</v>
      </c>
      <c r="AK81" s="737"/>
      <c r="AM81" s="383" t="s">
        <v>150</v>
      </c>
      <c r="AN81" s="407">
        <v>60.636068751069253</v>
      </c>
      <c r="AO81" s="715"/>
      <c r="AP81" s="716"/>
      <c r="AQ81" s="383" t="s">
        <v>150</v>
      </c>
      <c r="AR81" s="407">
        <f>AN81*(1+$AT$71)</f>
        <v>61.812408484839999</v>
      </c>
      <c r="AS81" s="715"/>
      <c r="AT81" s="716"/>
      <c r="AU81" s="407">
        <f>AR81*(1+$AW$71)</f>
        <v>64.074742635385135</v>
      </c>
      <c r="AV81" s="715"/>
      <c r="AW81" s="716"/>
      <c r="AX81" s="407">
        <f>AU81*(1+$AZ$71)</f>
        <v>68.412602711800716</v>
      </c>
      <c r="AY81" s="715"/>
      <c r="AZ81" s="716"/>
      <c r="BA81" s="407">
        <f>AX81*(1+$BC$71)</f>
        <v>72.346327367729259</v>
      </c>
      <c r="BB81" s="715"/>
      <c r="BC81" s="716"/>
      <c r="BD81" s="407">
        <f>BA81*(1+$BC$71)</f>
        <v>76.506241191373704</v>
      </c>
      <c r="BE81" s="715"/>
      <c r="BF81" s="716"/>
      <c r="BG81" s="407">
        <f>BD81*(1+$BC$71)</f>
        <v>80.905350059877705</v>
      </c>
      <c r="BH81" s="715"/>
      <c r="BI81" s="716"/>
    </row>
    <row r="82" spans="1:61">
      <c r="A82" s="190"/>
      <c r="B82" s="190"/>
      <c r="C82" s="190"/>
      <c r="D82" s="190"/>
      <c r="E82" s="190"/>
      <c r="F82" s="190"/>
      <c r="G82" s="190"/>
      <c r="H82" s="190"/>
      <c r="I82" s="190"/>
      <c r="J82" s="190"/>
      <c r="K82" s="190"/>
      <c r="L82" s="190"/>
      <c r="M82" s="190"/>
      <c r="N82" s="190"/>
      <c r="O82" s="190"/>
      <c r="P82" s="190"/>
      <c r="Q82" s="190"/>
      <c r="Z82" s="737"/>
      <c r="AA82" s="737"/>
      <c r="AD82" s="737"/>
      <c r="AE82" s="737"/>
      <c r="AG82" s="737"/>
      <c r="AH82" s="737"/>
      <c r="AJ82" s="737"/>
      <c r="AK82" s="737"/>
    </row>
    <row r="83" spans="1:61" ht="83.25" customHeight="1">
      <c r="A83" s="190"/>
      <c r="B83" s="190"/>
      <c r="C83" s="190"/>
      <c r="D83" s="190"/>
      <c r="E83" s="190"/>
      <c r="F83" s="190"/>
      <c r="G83" s="190"/>
      <c r="H83" s="190"/>
      <c r="I83" s="190"/>
      <c r="J83" s="190"/>
      <c r="K83" s="190"/>
      <c r="L83" s="190"/>
      <c r="M83" s="190"/>
      <c r="N83" s="190"/>
      <c r="O83" s="190"/>
      <c r="P83" s="190"/>
      <c r="Q83" s="190"/>
      <c r="Z83" s="735" t="s">
        <v>155</v>
      </c>
      <c r="AA83" s="735"/>
      <c r="AD83" s="735" t="s">
        <v>156</v>
      </c>
      <c r="AE83" s="735"/>
      <c r="AG83" s="293" t="s">
        <v>201</v>
      </c>
      <c r="AJ83" s="293" t="s">
        <v>201</v>
      </c>
    </row>
    <row r="84" spans="1:61">
      <c r="A84" s="190"/>
      <c r="B84" s="190"/>
      <c r="C84" s="190"/>
      <c r="D84" s="190"/>
      <c r="E84" s="190"/>
      <c r="F84" s="190"/>
      <c r="G84" s="190"/>
      <c r="H84" s="190"/>
      <c r="I84" s="190"/>
      <c r="J84" s="190"/>
      <c r="K84" s="190"/>
      <c r="L84" s="190"/>
      <c r="M84" s="190"/>
      <c r="N84" s="190"/>
      <c r="O84" s="190"/>
      <c r="P84" s="190"/>
      <c r="Q84" s="190"/>
      <c r="AD84" s="735"/>
      <c r="AE84" s="735"/>
    </row>
    <row r="85" spans="1:61">
      <c r="A85" s="190"/>
      <c r="B85" s="190"/>
      <c r="C85" s="190"/>
      <c r="D85" s="190"/>
      <c r="E85" s="190"/>
      <c r="F85" s="190"/>
      <c r="G85" s="190"/>
      <c r="H85" s="190"/>
      <c r="I85" s="190"/>
      <c r="J85" s="190"/>
      <c r="K85" s="190"/>
      <c r="L85" s="190"/>
      <c r="M85" s="190"/>
      <c r="N85" s="190"/>
      <c r="O85" s="190"/>
      <c r="P85" s="190"/>
      <c r="Q85" s="190"/>
      <c r="AD85" s="735"/>
      <c r="AE85" s="735"/>
    </row>
    <row r="86" spans="1:61">
      <c r="A86" s="190"/>
      <c r="B86" s="190"/>
      <c r="C86" s="190"/>
      <c r="D86" s="190"/>
      <c r="E86" s="190"/>
      <c r="F86" s="190"/>
      <c r="G86" s="190"/>
      <c r="H86" s="190"/>
      <c r="I86" s="190"/>
      <c r="J86" s="190"/>
      <c r="K86" s="190"/>
      <c r="L86" s="190"/>
      <c r="M86" s="190"/>
      <c r="N86" s="190"/>
      <c r="O86" s="190"/>
      <c r="P86" s="190"/>
      <c r="Q86" s="190"/>
      <c r="AD86" s="735"/>
      <c r="AE86" s="735"/>
    </row>
    <row r="87" spans="1:61">
      <c r="A87" s="190"/>
      <c r="B87" s="190"/>
      <c r="C87" s="190"/>
      <c r="D87" s="190"/>
      <c r="E87" s="190"/>
      <c r="F87" s="190"/>
      <c r="G87" s="190"/>
      <c r="H87" s="190"/>
      <c r="I87" s="190"/>
      <c r="J87" s="190"/>
      <c r="K87" s="190"/>
      <c r="L87" s="190"/>
      <c r="M87" s="190"/>
      <c r="N87" s="190"/>
      <c r="O87" s="190"/>
      <c r="P87" s="190"/>
      <c r="Q87" s="190"/>
      <c r="AD87" s="735"/>
      <c r="AE87" s="735"/>
    </row>
    <row r="88" spans="1:61">
      <c r="A88" s="190"/>
      <c r="B88" s="190"/>
      <c r="C88" s="190"/>
      <c r="D88" s="190"/>
      <c r="E88" s="190"/>
      <c r="F88" s="190"/>
      <c r="G88" s="190"/>
      <c r="H88" s="190"/>
      <c r="I88" s="190"/>
      <c r="J88" s="190"/>
      <c r="K88" s="190"/>
      <c r="L88" s="190"/>
      <c r="M88" s="190"/>
      <c r="N88" s="190"/>
      <c r="O88" s="190"/>
      <c r="P88" s="190"/>
      <c r="Q88" s="190"/>
      <c r="AD88" s="735"/>
      <c r="AE88" s="735"/>
    </row>
    <row r="89" spans="1:61">
      <c r="A89" s="190"/>
      <c r="B89" s="190"/>
      <c r="C89" s="190"/>
      <c r="D89" s="190"/>
      <c r="E89" s="190"/>
      <c r="F89" s="190"/>
      <c r="G89" s="190"/>
      <c r="H89" s="190"/>
      <c r="I89" s="190"/>
      <c r="J89" s="190"/>
      <c r="K89" s="190"/>
      <c r="L89" s="190"/>
      <c r="M89" s="190"/>
      <c r="N89" s="190"/>
      <c r="O89" s="190"/>
      <c r="P89" s="190"/>
      <c r="Q89" s="190"/>
      <c r="AD89" s="735"/>
      <c r="AE89" s="735"/>
    </row>
    <row r="90" spans="1:61">
      <c r="A90" s="190"/>
      <c r="B90" s="190"/>
      <c r="C90" s="190"/>
      <c r="D90" s="190"/>
      <c r="E90" s="190"/>
      <c r="F90" s="190"/>
      <c r="G90" s="190"/>
      <c r="H90" s="190"/>
      <c r="I90" s="190"/>
      <c r="J90" s="190"/>
      <c r="K90" s="190"/>
      <c r="L90" s="190"/>
      <c r="M90" s="190"/>
      <c r="N90" s="190"/>
      <c r="O90" s="190"/>
      <c r="P90" s="190"/>
      <c r="Q90" s="190"/>
      <c r="AD90" s="190" t="s">
        <v>157</v>
      </c>
      <c r="AG90" s="191" t="s">
        <v>202</v>
      </c>
      <c r="AJ90" s="191" t="s">
        <v>202</v>
      </c>
    </row>
    <row r="91" spans="1:61">
      <c r="A91" s="190"/>
      <c r="B91" s="190"/>
      <c r="C91" s="190"/>
      <c r="D91" s="190"/>
      <c r="E91" s="190"/>
      <c r="F91" s="190"/>
      <c r="G91" s="190"/>
      <c r="H91" s="190"/>
      <c r="I91" s="190"/>
      <c r="J91" s="190"/>
      <c r="K91" s="190"/>
      <c r="L91" s="190"/>
      <c r="M91" s="190"/>
      <c r="N91" s="190"/>
      <c r="O91" s="190"/>
      <c r="P91" s="190"/>
      <c r="Q91" s="190"/>
    </row>
    <row r="92" spans="1:61">
      <c r="A92" s="190"/>
      <c r="B92" s="190"/>
      <c r="C92" s="190"/>
      <c r="D92" s="190"/>
      <c r="E92" s="190"/>
      <c r="F92" s="190"/>
      <c r="G92" s="190"/>
      <c r="H92" s="190"/>
      <c r="I92" s="190"/>
      <c r="J92" s="190"/>
      <c r="K92" s="190"/>
      <c r="L92" s="190"/>
      <c r="M92" s="190"/>
      <c r="N92" s="190"/>
      <c r="O92" s="190"/>
      <c r="P92" s="190"/>
      <c r="Q92" s="190"/>
    </row>
    <row r="93" spans="1:61">
      <c r="A93" s="190"/>
      <c r="B93" s="190"/>
      <c r="C93" s="190"/>
      <c r="D93" s="190"/>
      <c r="E93" s="190"/>
      <c r="F93" s="190"/>
      <c r="G93" s="190"/>
      <c r="H93" s="190"/>
      <c r="I93" s="190"/>
      <c r="J93" s="190"/>
      <c r="K93" s="190"/>
      <c r="L93" s="190"/>
      <c r="M93" s="190"/>
      <c r="N93" s="190"/>
      <c r="O93" s="190"/>
      <c r="P93" s="190"/>
      <c r="Q93" s="190"/>
    </row>
    <row r="94" spans="1:61">
      <c r="A94" s="190"/>
      <c r="B94" s="190"/>
      <c r="C94" s="190"/>
      <c r="D94" s="190"/>
      <c r="E94" s="190"/>
      <c r="F94" s="190"/>
      <c r="G94" s="190"/>
      <c r="H94" s="190"/>
      <c r="I94" s="190"/>
      <c r="J94" s="190"/>
      <c r="K94" s="190"/>
      <c r="L94" s="190"/>
      <c r="M94" s="190"/>
      <c r="N94" s="190"/>
      <c r="O94" s="190"/>
      <c r="P94" s="190"/>
      <c r="Q94" s="190"/>
    </row>
    <row r="95" spans="1:61">
      <c r="A95" s="190"/>
      <c r="B95" s="190"/>
      <c r="C95" s="190"/>
      <c r="D95" s="190"/>
      <c r="E95" s="190"/>
      <c r="F95" s="190"/>
      <c r="G95" s="190"/>
      <c r="H95" s="190"/>
      <c r="I95" s="190"/>
      <c r="J95" s="190"/>
      <c r="K95" s="190"/>
      <c r="L95" s="190"/>
      <c r="M95" s="190"/>
      <c r="N95" s="190"/>
      <c r="O95" s="190"/>
      <c r="P95" s="190"/>
      <c r="Q95" s="190"/>
    </row>
    <row r="96" spans="1:61">
      <c r="A96" s="190"/>
      <c r="B96" s="190"/>
      <c r="C96" s="190"/>
      <c r="D96" s="190"/>
      <c r="E96" s="190"/>
      <c r="F96" s="190"/>
      <c r="G96" s="190"/>
      <c r="H96" s="190"/>
      <c r="I96" s="190"/>
      <c r="J96" s="190"/>
      <c r="K96" s="190"/>
      <c r="L96" s="190"/>
      <c r="M96" s="190"/>
      <c r="N96" s="190"/>
      <c r="O96" s="190"/>
      <c r="P96" s="190"/>
      <c r="Q96" s="190"/>
    </row>
    <row r="97" spans="1:236">
      <c r="A97" s="190"/>
      <c r="B97" s="190"/>
      <c r="C97" s="190"/>
      <c r="D97" s="190"/>
      <c r="E97" s="190"/>
      <c r="F97" s="190"/>
      <c r="G97" s="190"/>
      <c r="H97" s="190"/>
      <c r="I97" s="190"/>
      <c r="J97" s="190"/>
      <c r="K97" s="190"/>
      <c r="L97" s="190"/>
      <c r="M97" s="190"/>
      <c r="N97" s="190"/>
      <c r="O97" s="190"/>
      <c r="P97" s="190"/>
      <c r="Q97" s="190"/>
    </row>
    <row r="98" spans="1:236">
      <c r="A98" s="190"/>
      <c r="B98" s="190"/>
      <c r="C98" s="190"/>
      <c r="D98" s="190"/>
      <c r="E98" s="190"/>
      <c r="F98" s="190"/>
      <c r="G98" s="190"/>
      <c r="H98" s="190"/>
      <c r="I98" s="190"/>
      <c r="J98" s="190"/>
      <c r="K98" s="190"/>
      <c r="L98" s="190"/>
      <c r="M98" s="190"/>
      <c r="N98" s="190"/>
      <c r="O98" s="190"/>
      <c r="P98" s="190"/>
      <c r="Q98" s="190"/>
    </row>
    <row r="99" spans="1:236">
      <c r="A99" s="190"/>
      <c r="B99" s="190"/>
      <c r="C99" s="190"/>
      <c r="D99" s="190"/>
      <c r="E99" s="190"/>
      <c r="F99" s="190"/>
      <c r="G99" s="190"/>
      <c r="H99" s="190"/>
      <c r="I99" s="190"/>
      <c r="J99" s="190"/>
      <c r="K99" s="190"/>
      <c r="L99" s="190"/>
      <c r="M99" s="190"/>
      <c r="N99" s="190"/>
      <c r="O99" s="190"/>
      <c r="P99" s="190"/>
      <c r="Q99" s="190"/>
    </row>
    <row r="100" spans="1:236">
      <c r="A100" s="190"/>
      <c r="B100" s="190"/>
      <c r="C100" s="190"/>
      <c r="D100" s="190"/>
      <c r="E100" s="190"/>
      <c r="F100" s="190"/>
      <c r="G100" s="190"/>
      <c r="H100" s="190"/>
      <c r="I100" s="190"/>
      <c r="J100" s="190"/>
      <c r="K100" s="190"/>
      <c r="L100" s="190"/>
      <c r="M100" s="190"/>
      <c r="N100" s="190"/>
      <c r="O100" s="190"/>
      <c r="P100" s="190"/>
      <c r="Q100" s="190"/>
    </row>
    <row r="101" spans="1:236">
      <c r="A101" s="190"/>
      <c r="B101" s="190"/>
      <c r="C101" s="190"/>
      <c r="D101" s="190"/>
      <c r="E101" s="190"/>
      <c r="F101" s="190"/>
      <c r="G101" s="190"/>
      <c r="H101" s="190"/>
      <c r="I101" s="190"/>
      <c r="J101" s="190"/>
      <c r="K101" s="190"/>
      <c r="L101" s="190"/>
      <c r="M101" s="190"/>
      <c r="N101" s="190"/>
      <c r="O101" s="190"/>
      <c r="P101" s="190"/>
      <c r="Q101" s="190"/>
    </row>
    <row r="102" spans="1:236">
      <c r="A102" s="190"/>
      <c r="B102" s="190"/>
      <c r="C102" s="190"/>
      <c r="D102" s="190"/>
      <c r="E102" s="190"/>
      <c r="F102" s="190"/>
      <c r="G102" s="190"/>
      <c r="H102" s="190"/>
      <c r="I102" s="190"/>
      <c r="J102" s="190"/>
      <c r="K102" s="190"/>
      <c r="L102" s="190"/>
      <c r="M102" s="190"/>
      <c r="N102" s="190"/>
      <c r="O102" s="190"/>
      <c r="P102" s="190"/>
      <c r="Q102" s="190"/>
    </row>
    <row r="103" spans="1:236" s="137" customFormat="1" ht="14.25">
      <c r="A103" s="190"/>
      <c r="B103" s="190"/>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1"/>
      <c r="AF103" s="191"/>
      <c r="AG103" s="191"/>
      <c r="AH103" s="191"/>
      <c r="AI103" s="191"/>
      <c r="AJ103" s="191"/>
      <c r="AK103" s="191"/>
      <c r="AL103" s="191"/>
      <c r="AM103" s="191"/>
      <c r="AN103" s="191"/>
      <c r="AO103" s="191"/>
      <c r="AP103" s="191"/>
      <c r="AQ103" s="191"/>
      <c r="AR103" s="191"/>
      <c r="AS103" s="191"/>
      <c r="AT103" s="191"/>
      <c r="AU103" s="191"/>
      <c r="AV103" s="191"/>
      <c r="AW103" s="191"/>
      <c r="AX103" s="191"/>
      <c r="AY103" s="191"/>
      <c r="AZ103" s="191"/>
      <c r="BA103" s="191"/>
      <c r="BB103" s="191"/>
      <c r="BC103" s="191"/>
      <c r="BD103" s="191"/>
      <c r="BE103" s="191"/>
      <c r="BF103" s="191"/>
      <c r="BG103" s="191"/>
      <c r="BH103" s="191"/>
      <c r="BI103" s="191"/>
      <c r="BJ103" s="191"/>
      <c r="BK103" s="191"/>
      <c r="BL103" s="191"/>
      <c r="BM103" s="191"/>
      <c r="BN103" s="191"/>
      <c r="BO103" s="191"/>
      <c r="BP103" s="191"/>
      <c r="BQ103" s="191"/>
      <c r="BR103" s="191"/>
      <c r="BS103" s="191"/>
      <c r="BT103" s="191"/>
      <c r="BU103" s="191"/>
      <c r="BV103" s="191"/>
      <c r="BW103" s="191"/>
      <c r="BX103" s="191"/>
      <c r="BY103" s="191"/>
      <c r="BZ103" s="191"/>
      <c r="CA103" s="191"/>
      <c r="CB103" s="191"/>
      <c r="CC103" s="191"/>
      <c r="CD103" s="191"/>
      <c r="CE103" s="191"/>
      <c r="CF103" s="191"/>
      <c r="CG103" s="191"/>
      <c r="CH103" s="191"/>
      <c r="CI103" s="191"/>
      <c r="CJ103" s="191"/>
      <c r="CK103" s="191"/>
      <c r="CL103" s="191"/>
      <c r="CM103" s="191"/>
      <c r="CN103" s="191"/>
      <c r="CO103" s="191"/>
      <c r="CP103" s="191"/>
      <c r="CQ103" s="191"/>
      <c r="CR103" s="191"/>
      <c r="CS103" s="191"/>
      <c r="CT103" s="191"/>
      <c r="CU103" s="191"/>
      <c r="CV103" s="191"/>
      <c r="CW103" s="191"/>
      <c r="CX103" s="191"/>
      <c r="CY103" s="191"/>
      <c r="CZ103" s="191"/>
      <c r="DA103" s="191"/>
      <c r="DB103" s="191"/>
      <c r="DC103" s="191"/>
      <c r="DD103" s="191"/>
      <c r="DE103" s="191"/>
      <c r="DF103" s="191"/>
      <c r="DG103" s="191"/>
      <c r="DH103" s="191"/>
      <c r="DI103" s="191"/>
      <c r="DJ103" s="191"/>
      <c r="DK103" s="191"/>
      <c r="DL103" s="191"/>
      <c r="DM103" s="191"/>
      <c r="DN103" s="191"/>
      <c r="DO103" s="191"/>
      <c r="DP103" s="191"/>
      <c r="DQ103" s="191"/>
      <c r="DR103" s="191"/>
      <c r="DS103" s="191"/>
      <c r="DT103" s="191"/>
      <c r="DU103" s="191"/>
      <c r="DV103" s="191"/>
      <c r="DW103" s="191"/>
      <c r="DX103" s="191"/>
      <c r="DY103" s="191"/>
      <c r="DZ103" s="191"/>
      <c r="EA103" s="191"/>
      <c r="EB103" s="191"/>
      <c r="EC103" s="191"/>
      <c r="ED103" s="191"/>
      <c r="EE103" s="191"/>
      <c r="EF103" s="191"/>
      <c r="EG103" s="191"/>
      <c r="EH103" s="191"/>
      <c r="EI103" s="191"/>
      <c r="EJ103" s="191"/>
      <c r="EK103" s="191"/>
      <c r="EL103" s="191"/>
      <c r="EM103" s="191"/>
      <c r="EN103" s="191"/>
      <c r="EO103" s="191"/>
      <c r="EP103" s="191"/>
      <c r="EQ103" s="191"/>
      <c r="ER103" s="191"/>
      <c r="ES103" s="191"/>
      <c r="ET103" s="191"/>
      <c r="EU103" s="191"/>
      <c r="EV103" s="191"/>
      <c r="EW103" s="191"/>
      <c r="EX103" s="191"/>
      <c r="EY103" s="191"/>
      <c r="EZ103" s="191"/>
      <c r="FA103" s="191"/>
      <c r="FB103" s="191"/>
      <c r="FC103" s="191"/>
      <c r="FD103" s="191"/>
      <c r="FE103" s="191"/>
      <c r="FF103" s="191"/>
      <c r="FG103" s="191"/>
      <c r="FH103" s="191"/>
      <c r="FI103" s="191"/>
      <c r="FJ103" s="191"/>
      <c r="FK103" s="191"/>
      <c r="FL103" s="191"/>
      <c r="FM103" s="191"/>
      <c r="FN103" s="191"/>
      <c r="FO103" s="191"/>
      <c r="FP103" s="191"/>
      <c r="FQ103" s="191"/>
      <c r="FR103" s="191"/>
      <c r="FS103" s="191"/>
      <c r="FT103" s="191"/>
      <c r="FU103" s="191"/>
      <c r="FV103" s="191"/>
      <c r="FW103" s="191"/>
      <c r="FX103" s="191"/>
      <c r="FY103" s="191"/>
      <c r="FZ103" s="191"/>
      <c r="GA103" s="191"/>
      <c r="GB103" s="191"/>
      <c r="GC103" s="191"/>
      <c r="GD103" s="191"/>
      <c r="GE103" s="191"/>
      <c r="GF103" s="191"/>
      <c r="GG103" s="191"/>
      <c r="GH103" s="191"/>
      <c r="GI103" s="191"/>
      <c r="GJ103" s="191"/>
      <c r="GK103" s="191"/>
      <c r="GL103" s="191"/>
      <c r="GM103" s="191"/>
      <c r="GN103" s="191"/>
      <c r="GO103" s="191"/>
      <c r="GP103" s="191"/>
      <c r="GQ103" s="191"/>
      <c r="GR103" s="191"/>
      <c r="GS103" s="191"/>
      <c r="GT103" s="191"/>
      <c r="GU103" s="191"/>
      <c r="GV103" s="191"/>
      <c r="GW103" s="191"/>
      <c r="GX103" s="191"/>
      <c r="GY103" s="191"/>
      <c r="GZ103" s="191"/>
      <c r="HA103" s="191"/>
      <c r="HB103" s="191"/>
      <c r="HC103" s="191"/>
      <c r="HD103" s="191"/>
      <c r="HE103" s="191"/>
      <c r="HF103" s="191"/>
      <c r="HG103" s="191"/>
      <c r="HH103" s="191"/>
      <c r="HI103" s="191"/>
      <c r="HJ103" s="191"/>
      <c r="HK103" s="191"/>
      <c r="HL103" s="191"/>
      <c r="HM103" s="191"/>
      <c r="HN103" s="191"/>
      <c r="HO103" s="191"/>
      <c r="HP103" s="191"/>
      <c r="HQ103" s="191"/>
      <c r="HR103" s="191"/>
      <c r="HS103" s="191"/>
      <c r="HT103" s="191"/>
      <c r="HU103" s="191"/>
      <c r="HV103" s="191"/>
      <c r="HW103" s="191"/>
      <c r="HX103" s="191"/>
      <c r="HY103" s="191"/>
      <c r="HZ103" s="191"/>
      <c r="IA103" s="191"/>
      <c r="IB103" s="191"/>
    </row>
    <row r="104" spans="1:236" s="137" customFormat="1" ht="14.25">
      <c r="A104" s="190"/>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1"/>
      <c r="AF104" s="191"/>
      <c r="AG104" s="191"/>
      <c r="AH104" s="191"/>
      <c r="AI104" s="191"/>
      <c r="AJ104" s="191"/>
      <c r="AK104" s="191"/>
      <c r="AL104" s="191"/>
      <c r="AM104" s="191"/>
      <c r="AN104" s="191"/>
      <c r="AO104" s="191"/>
      <c r="AP104" s="191"/>
      <c r="AQ104" s="191"/>
      <c r="AR104" s="191"/>
      <c r="AS104" s="191"/>
      <c r="AT104" s="191"/>
      <c r="AU104" s="191"/>
      <c r="AV104" s="191"/>
      <c r="AW104" s="191"/>
      <c r="AX104" s="191"/>
      <c r="AY104" s="191"/>
      <c r="AZ104" s="191"/>
      <c r="BA104" s="191"/>
      <c r="BB104" s="191"/>
      <c r="BC104" s="191"/>
      <c r="BD104" s="191"/>
      <c r="BE104" s="191"/>
      <c r="BF104" s="191"/>
      <c r="BG104" s="191"/>
      <c r="BH104" s="191"/>
      <c r="BI104" s="191"/>
      <c r="BJ104" s="191"/>
      <c r="BK104" s="191"/>
      <c r="BL104" s="191"/>
      <c r="BM104" s="191"/>
      <c r="BN104" s="191"/>
      <c r="BO104" s="191"/>
      <c r="BP104" s="191"/>
      <c r="BQ104" s="191"/>
      <c r="BR104" s="191"/>
      <c r="BS104" s="191"/>
      <c r="BT104" s="191"/>
      <c r="BU104" s="191"/>
      <c r="BV104" s="191"/>
      <c r="BW104" s="191"/>
      <c r="BX104" s="191"/>
      <c r="BY104" s="191"/>
      <c r="BZ104" s="191"/>
      <c r="CA104" s="191"/>
      <c r="CB104" s="191"/>
      <c r="CC104" s="191"/>
      <c r="CD104" s="191"/>
      <c r="CE104" s="191"/>
      <c r="CF104" s="191"/>
      <c r="CG104" s="191"/>
      <c r="CH104" s="191"/>
      <c r="CI104" s="191"/>
      <c r="CJ104" s="191"/>
      <c r="CK104" s="191"/>
      <c r="CL104" s="191"/>
      <c r="CM104" s="191"/>
      <c r="CN104" s="191"/>
      <c r="CO104" s="191"/>
      <c r="CP104" s="191"/>
      <c r="CQ104" s="191"/>
      <c r="CR104" s="191"/>
      <c r="CS104" s="191"/>
      <c r="CT104" s="191"/>
      <c r="CU104" s="191"/>
      <c r="CV104" s="191"/>
      <c r="CW104" s="191"/>
      <c r="CX104" s="191"/>
      <c r="CY104" s="191"/>
      <c r="CZ104" s="191"/>
      <c r="DA104" s="191"/>
      <c r="DB104" s="191"/>
      <c r="DC104" s="191"/>
      <c r="DD104" s="191"/>
      <c r="DE104" s="191"/>
      <c r="DF104" s="191"/>
      <c r="DG104" s="191"/>
      <c r="DH104" s="191"/>
      <c r="DI104" s="191"/>
      <c r="DJ104" s="191"/>
      <c r="DK104" s="191"/>
      <c r="DL104" s="191"/>
      <c r="DM104" s="191"/>
      <c r="DN104" s="191"/>
      <c r="DO104" s="191"/>
      <c r="DP104" s="191"/>
      <c r="DQ104" s="191"/>
      <c r="DR104" s="191"/>
      <c r="DS104" s="191"/>
      <c r="DT104" s="191"/>
      <c r="DU104" s="191"/>
      <c r="DV104" s="191"/>
      <c r="DW104" s="191"/>
      <c r="DX104" s="191"/>
      <c r="DY104" s="191"/>
      <c r="DZ104" s="191"/>
      <c r="EA104" s="191"/>
      <c r="EB104" s="191"/>
      <c r="EC104" s="191"/>
      <c r="ED104" s="191"/>
      <c r="EE104" s="191"/>
      <c r="EF104" s="191"/>
      <c r="EG104" s="191"/>
      <c r="EH104" s="191"/>
      <c r="EI104" s="191"/>
      <c r="EJ104" s="191"/>
      <c r="EK104" s="191"/>
      <c r="EL104" s="191"/>
      <c r="EM104" s="191"/>
      <c r="EN104" s="191"/>
      <c r="EO104" s="191"/>
      <c r="EP104" s="191"/>
      <c r="EQ104" s="191"/>
      <c r="ER104" s="191"/>
      <c r="ES104" s="191"/>
      <c r="ET104" s="191"/>
      <c r="EU104" s="191"/>
      <c r="EV104" s="191"/>
      <c r="EW104" s="191"/>
      <c r="EX104" s="191"/>
      <c r="EY104" s="191"/>
      <c r="EZ104" s="191"/>
      <c r="FA104" s="191"/>
      <c r="FB104" s="191"/>
      <c r="FC104" s="191"/>
      <c r="FD104" s="191"/>
      <c r="FE104" s="191"/>
      <c r="FF104" s="191"/>
      <c r="FG104" s="191"/>
      <c r="FH104" s="191"/>
      <c r="FI104" s="191"/>
      <c r="FJ104" s="191"/>
      <c r="FK104" s="191"/>
      <c r="FL104" s="191"/>
      <c r="FM104" s="191"/>
      <c r="FN104" s="191"/>
      <c r="FO104" s="191"/>
      <c r="FP104" s="191"/>
      <c r="FQ104" s="191"/>
      <c r="FR104" s="191"/>
      <c r="FS104" s="191"/>
      <c r="FT104" s="191"/>
      <c r="FU104" s="191"/>
      <c r="FV104" s="191"/>
      <c r="FW104" s="191"/>
      <c r="FX104" s="191"/>
      <c r="FY104" s="191"/>
      <c r="FZ104" s="191"/>
      <c r="GA104" s="191"/>
      <c r="GB104" s="191"/>
      <c r="GC104" s="191"/>
      <c r="GD104" s="191"/>
      <c r="GE104" s="191"/>
      <c r="GF104" s="191"/>
      <c r="GG104" s="191"/>
      <c r="GH104" s="191"/>
      <c r="GI104" s="191"/>
      <c r="GJ104" s="191"/>
      <c r="GK104" s="191"/>
      <c r="GL104" s="191"/>
      <c r="GM104" s="191"/>
      <c r="GN104" s="191"/>
      <c r="GO104" s="191"/>
      <c r="GP104" s="191"/>
      <c r="GQ104" s="191"/>
      <c r="GR104" s="191"/>
      <c r="GS104" s="191"/>
      <c r="GT104" s="191"/>
      <c r="GU104" s="191"/>
      <c r="GV104" s="191"/>
      <c r="GW104" s="191"/>
      <c r="GX104" s="191"/>
      <c r="GY104" s="191"/>
      <c r="GZ104" s="191"/>
      <c r="HA104" s="191"/>
      <c r="HB104" s="191"/>
      <c r="HC104" s="191"/>
      <c r="HD104" s="191"/>
      <c r="HE104" s="191"/>
      <c r="HF104" s="191"/>
      <c r="HG104" s="191"/>
      <c r="HH104" s="191"/>
      <c r="HI104" s="191"/>
      <c r="HJ104" s="191"/>
      <c r="HK104" s="191"/>
      <c r="HL104" s="191"/>
      <c r="HM104" s="191"/>
      <c r="HN104" s="191"/>
      <c r="HO104" s="191"/>
      <c r="HP104" s="191"/>
      <c r="HQ104" s="191"/>
      <c r="HR104" s="191"/>
      <c r="HS104" s="191"/>
      <c r="HT104" s="191"/>
      <c r="HU104" s="191"/>
      <c r="HV104" s="191"/>
      <c r="HW104" s="191"/>
      <c r="HX104" s="191"/>
      <c r="HY104" s="191"/>
      <c r="HZ104" s="191"/>
      <c r="IA104" s="191"/>
      <c r="IB104" s="191"/>
    </row>
    <row r="105" spans="1:236" s="137" customFormat="1" ht="14.25">
      <c r="A105" s="190"/>
      <c r="B105" s="190"/>
      <c r="C105" s="190"/>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1"/>
      <c r="AF105" s="191"/>
      <c r="AG105" s="191"/>
      <c r="AH105" s="191"/>
      <c r="AI105" s="191"/>
      <c r="AJ105" s="191"/>
      <c r="AK105" s="191"/>
      <c r="AL105" s="191"/>
      <c r="AM105" s="191"/>
      <c r="AN105" s="191"/>
      <c r="AO105" s="191"/>
      <c r="AP105" s="191"/>
      <c r="AQ105" s="191"/>
      <c r="AR105" s="191"/>
      <c r="AS105" s="191"/>
      <c r="AT105" s="191"/>
      <c r="AU105" s="191"/>
      <c r="AV105" s="191"/>
      <c r="AW105" s="191"/>
      <c r="AX105" s="191"/>
      <c r="AY105" s="191"/>
      <c r="AZ105" s="191"/>
      <c r="BA105" s="191"/>
      <c r="BB105" s="191"/>
      <c r="BC105" s="191"/>
      <c r="BD105" s="191"/>
      <c r="BE105" s="191"/>
      <c r="BF105" s="191"/>
      <c r="BG105" s="191"/>
      <c r="BH105" s="191"/>
      <c r="BI105" s="191"/>
      <c r="BJ105" s="191"/>
      <c r="BK105" s="191"/>
      <c r="BL105" s="191"/>
      <c r="BM105" s="191"/>
      <c r="BN105" s="191"/>
      <c r="BO105" s="191"/>
      <c r="BP105" s="191"/>
      <c r="BQ105" s="191"/>
      <c r="BR105" s="191"/>
      <c r="BS105" s="191"/>
      <c r="BT105" s="191"/>
      <c r="BU105" s="191"/>
      <c r="BV105" s="191"/>
      <c r="BW105" s="191"/>
      <c r="BX105" s="191"/>
      <c r="BY105" s="191"/>
      <c r="BZ105" s="191"/>
      <c r="CA105" s="191"/>
      <c r="CB105" s="191"/>
      <c r="CC105" s="191"/>
      <c r="CD105" s="191"/>
      <c r="CE105" s="191"/>
      <c r="CF105" s="191"/>
      <c r="CG105" s="191"/>
      <c r="CH105" s="191"/>
      <c r="CI105" s="191"/>
      <c r="CJ105" s="191"/>
      <c r="CK105" s="191"/>
      <c r="CL105" s="191"/>
      <c r="CM105" s="191"/>
      <c r="CN105" s="191"/>
      <c r="CO105" s="191"/>
      <c r="CP105" s="191"/>
      <c r="CQ105" s="191"/>
      <c r="CR105" s="191"/>
      <c r="CS105" s="191"/>
      <c r="CT105" s="191"/>
      <c r="CU105" s="191"/>
      <c r="CV105" s="191"/>
      <c r="CW105" s="191"/>
      <c r="CX105" s="191"/>
      <c r="CY105" s="191"/>
      <c r="CZ105" s="191"/>
      <c r="DA105" s="191"/>
      <c r="DB105" s="191"/>
      <c r="DC105" s="191"/>
      <c r="DD105" s="191"/>
      <c r="DE105" s="191"/>
      <c r="DF105" s="191"/>
      <c r="DG105" s="191"/>
      <c r="DH105" s="191"/>
      <c r="DI105" s="191"/>
      <c r="DJ105" s="191"/>
      <c r="DK105" s="191"/>
      <c r="DL105" s="191"/>
      <c r="DM105" s="191"/>
      <c r="DN105" s="191"/>
      <c r="DO105" s="191"/>
      <c r="DP105" s="191"/>
      <c r="DQ105" s="191"/>
      <c r="DR105" s="191"/>
      <c r="DS105" s="191"/>
      <c r="DT105" s="191"/>
      <c r="DU105" s="191"/>
      <c r="DV105" s="191"/>
      <c r="DW105" s="191"/>
      <c r="DX105" s="191"/>
      <c r="DY105" s="191"/>
      <c r="DZ105" s="191"/>
      <c r="EA105" s="191"/>
      <c r="EB105" s="191"/>
      <c r="EC105" s="191"/>
      <c r="ED105" s="191"/>
      <c r="EE105" s="191"/>
      <c r="EF105" s="191"/>
      <c r="EG105" s="191"/>
      <c r="EH105" s="191"/>
      <c r="EI105" s="191"/>
      <c r="EJ105" s="191"/>
      <c r="EK105" s="191"/>
      <c r="EL105" s="191"/>
      <c r="EM105" s="191"/>
      <c r="EN105" s="191"/>
      <c r="EO105" s="191"/>
      <c r="EP105" s="191"/>
      <c r="EQ105" s="191"/>
      <c r="ER105" s="191"/>
      <c r="ES105" s="191"/>
      <c r="ET105" s="191"/>
      <c r="EU105" s="191"/>
      <c r="EV105" s="191"/>
      <c r="EW105" s="191"/>
      <c r="EX105" s="191"/>
      <c r="EY105" s="191"/>
      <c r="EZ105" s="191"/>
      <c r="FA105" s="191"/>
      <c r="FB105" s="191"/>
      <c r="FC105" s="191"/>
      <c r="FD105" s="191"/>
      <c r="FE105" s="191"/>
      <c r="FF105" s="191"/>
      <c r="FG105" s="191"/>
      <c r="FH105" s="191"/>
      <c r="FI105" s="191"/>
      <c r="FJ105" s="191"/>
      <c r="FK105" s="191"/>
      <c r="FL105" s="191"/>
      <c r="FM105" s="191"/>
      <c r="FN105" s="191"/>
      <c r="FO105" s="191"/>
      <c r="FP105" s="191"/>
      <c r="FQ105" s="191"/>
      <c r="FR105" s="191"/>
      <c r="FS105" s="191"/>
      <c r="FT105" s="191"/>
      <c r="FU105" s="191"/>
      <c r="FV105" s="191"/>
      <c r="FW105" s="191"/>
      <c r="FX105" s="191"/>
      <c r="FY105" s="191"/>
      <c r="FZ105" s="191"/>
      <c r="GA105" s="191"/>
      <c r="GB105" s="191"/>
      <c r="GC105" s="191"/>
      <c r="GD105" s="191"/>
      <c r="GE105" s="191"/>
      <c r="GF105" s="191"/>
      <c r="GG105" s="191"/>
      <c r="GH105" s="191"/>
      <c r="GI105" s="191"/>
      <c r="GJ105" s="191"/>
      <c r="GK105" s="191"/>
      <c r="GL105" s="191"/>
      <c r="GM105" s="191"/>
      <c r="GN105" s="191"/>
      <c r="GO105" s="191"/>
      <c r="GP105" s="191"/>
      <c r="GQ105" s="191"/>
      <c r="GR105" s="191"/>
      <c r="GS105" s="191"/>
      <c r="GT105" s="191"/>
      <c r="GU105" s="191"/>
      <c r="GV105" s="191"/>
      <c r="GW105" s="191"/>
      <c r="GX105" s="191"/>
      <c r="GY105" s="191"/>
      <c r="GZ105" s="191"/>
      <c r="HA105" s="191"/>
      <c r="HB105" s="191"/>
      <c r="HC105" s="191"/>
      <c r="HD105" s="191"/>
      <c r="HE105" s="191"/>
      <c r="HF105" s="191"/>
      <c r="HG105" s="191"/>
      <c r="HH105" s="191"/>
      <c r="HI105" s="191"/>
      <c r="HJ105" s="191"/>
      <c r="HK105" s="191"/>
      <c r="HL105" s="191"/>
      <c r="HM105" s="191"/>
      <c r="HN105" s="191"/>
      <c r="HO105" s="191"/>
      <c r="HP105" s="191"/>
      <c r="HQ105" s="191"/>
      <c r="HR105" s="191"/>
      <c r="HS105" s="191"/>
      <c r="HT105" s="191"/>
      <c r="HU105" s="191"/>
      <c r="HV105" s="191"/>
      <c r="HW105" s="191"/>
      <c r="HX105" s="191"/>
      <c r="HY105" s="191"/>
      <c r="HZ105" s="191"/>
      <c r="IA105" s="191"/>
      <c r="IB105" s="191"/>
    </row>
    <row r="106" spans="1:236" s="137" customFormat="1" ht="14.25">
      <c r="A106" s="190"/>
      <c r="B106" s="190"/>
      <c r="C106" s="190"/>
      <c r="D106" s="190"/>
      <c r="E106" s="190"/>
      <c r="F106" s="190"/>
      <c r="G106" s="190"/>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1"/>
      <c r="AF106" s="191"/>
      <c r="AG106" s="191"/>
      <c r="AH106" s="191"/>
      <c r="AI106" s="191"/>
      <c r="AJ106" s="191"/>
      <c r="AK106" s="191"/>
      <c r="AL106" s="191"/>
      <c r="AM106" s="191"/>
      <c r="AN106" s="191"/>
      <c r="AO106" s="191"/>
      <c r="AP106" s="191"/>
      <c r="AQ106" s="191"/>
      <c r="AR106" s="191"/>
      <c r="AS106" s="191"/>
      <c r="AT106" s="191"/>
      <c r="AU106" s="191"/>
      <c r="AV106" s="191"/>
      <c r="AW106" s="191"/>
      <c r="AX106" s="191"/>
      <c r="AY106" s="191"/>
      <c r="AZ106" s="191"/>
      <c r="BA106" s="191"/>
      <c r="BB106" s="191"/>
      <c r="BC106" s="191"/>
      <c r="BD106" s="191"/>
      <c r="BE106" s="191"/>
      <c r="BF106" s="191"/>
      <c r="BG106" s="191"/>
      <c r="BH106" s="191"/>
      <c r="BI106" s="191"/>
      <c r="BJ106" s="191"/>
      <c r="BK106" s="191"/>
      <c r="BL106" s="191"/>
      <c r="BM106" s="191"/>
      <c r="BN106" s="191"/>
      <c r="BO106" s="191"/>
      <c r="BP106" s="191"/>
      <c r="BQ106" s="191"/>
      <c r="BR106" s="191"/>
      <c r="BS106" s="191"/>
      <c r="BT106" s="191"/>
      <c r="BU106" s="191"/>
      <c r="BV106" s="191"/>
      <c r="BW106" s="191"/>
      <c r="BX106" s="191"/>
      <c r="BY106" s="191"/>
      <c r="BZ106" s="191"/>
      <c r="CA106" s="191"/>
      <c r="CB106" s="191"/>
      <c r="CC106" s="191"/>
      <c r="CD106" s="191"/>
      <c r="CE106" s="191"/>
      <c r="CF106" s="191"/>
      <c r="CG106" s="191"/>
      <c r="CH106" s="191"/>
      <c r="CI106" s="191"/>
      <c r="CJ106" s="191"/>
      <c r="CK106" s="191"/>
      <c r="CL106" s="191"/>
      <c r="CM106" s="191"/>
      <c r="CN106" s="191"/>
      <c r="CO106" s="191"/>
      <c r="CP106" s="191"/>
      <c r="CQ106" s="191"/>
      <c r="CR106" s="191"/>
      <c r="CS106" s="191"/>
      <c r="CT106" s="191"/>
      <c r="CU106" s="191"/>
      <c r="CV106" s="191"/>
      <c r="CW106" s="191"/>
      <c r="CX106" s="191"/>
      <c r="CY106" s="191"/>
      <c r="CZ106" s="191"/>
      <c r="DA106" s="191"/>
      <c r="DB106" s="191"/>
      <c r="DC106" s="191"/>
      <c r="DD106" s="191"/>
      <c r="DE106" s="191"/>
      <c r="DF106" s="191"/>
      <c r="DG106" s="191"/>
      <c r="DH106" s="191"/>
      <c r="DI106" s="191"/>
      <c r="DJ106" s="191"/>
      <c r="DK106" s="191"/>
      <c r="DL106" s="191"/>
      <c r="DM106" s="191"/>
      <c r="DN106" s="191"/>
      <c r="DO106" s="191"/>
      <c r="DP106" s="191"/>
      <c r="DQ106" s="191"/>
      <c r="DR106" s="191"/>
      <c r="DS106" s="191"/>
      <c r="DT106" s="191"/>
      <c r="DU106" s="191"/>
      <c r="DV106" s="191"/>
      <c r="DW106" s="191"/>
      <c r="DX106" s="191"/>
      <c r="DY106" s="191"/>
      <c r="DZ106" s="191"/>
      <c r="EA106" s="191"/>
      <c r="EB106" s="191"/>
      <c r="EC106" s="191"/>
      <c r="ED106" s="191"/>
      <c r="EE106" s="191"/>
      <c r="EF106" s="191"/>
      <c r="EG106" s="191"/>
      <c r="EH106" s="191"/>
      <c r="EI106" s="191"/>
      <c r="EJ106" s="191"/>
      <c r="EK106" s="191"/>
      <c r="EL106" s="191"/>
      <c r="EM106" s="191"/>
      <c r="EN106" s="191"/>
      <c r="EO106" s="191"/>
      <c r="EP106" s="191"/>
      <c r="EQ106" s="191"/>
      <c r="ER106" s="191"/>
      <c r="ES106" s="191"/>
      <c r="ET106" s="191"/>
      <c r="EU106" s="191"/>
      <c r="EV106" s="191"/>
      <c r="EW106" s="191"/>
      <c r="EX106" s="191"/>
      <c r="EY106" s="191"/>
      <c r="EZ106" s="191"/>
      <c r="FA106" s="191"/>
      <c r="FB106" s="191"/>
      <c r="FC106" s="191"/>
      <c r="FD106" s="191"/>
      <c r="FE106" s="191"/>
      <c r="FF106" s="191"/>
      <c r="FG106" s="191"/>
      <c r="FH106" s="191"/>
      <c r="FI106" s="191"/>
      <c r="FJ106" s="191"/>
      <c r="FK106" s="191"/>
      <c r="FL106" s="191"/>
      <c r="FM106" s="191"/>
      <c r="FN106" s="191"/>
      <c r="FO106" s="191"/>
      <c r="FP106" s="191"/>
      <c r="FQ106" s="191"/>
      <c r="FR106" s="191"/>
      <c r="FS106" s="191"/>
      <c r="FT106" s="191"/>
      <c r="FU106" s="191"/>
      <c r="FV106" s="191"/>
      <c r="FW106" s="191"/>
      <c r="FX106" s="191"/>
      <c r="FY106" s="191"/>
      <c r="FZ106" s="191"/>
      <c r="GA106" s="191"/>
      <c r="GB106" s="191"/>
      <c r="GC106" s="191"/>
      <c r="GD106" s="191"/>
      <c r="GE106" s="191"/>
      <c r="GF106" s="191"/>
      <c r="GG106" s="191"/>
      <c r="GH106" s="191"/>
      <c r="GI106" s="191"/>
      <c r="GJ106" s="191"/>
      <c r="GK106" s="191"/>
      <c r="GL106" s="191"/>
      <c r="GM106" s="191"/>
      <c r="GN106" s="191"/>
      <c r="GO106" s="191"/>
      <c r="GP106" s="191"/>
      <c r="GQ106" s="191"/>
      <c r="GR106" s="191"/>
      <c r="GS106" s="191"/>
      <c r="GT106" s="191"/>
      <c r="GU106" s="191"/>
      <c r="GV106" s="191"/>
      <c r="GW106" s="191"/>
      <c r="GX106" s="191"/>
      <c r="GY106" s="191"/>
      <c r="GZ106" s="191"/>
      <c r="HA106" s="191"/>
      <c r="HB106" s="191"/>
      <c r="HC106" s="191"/>
      <c r="HD106" s="191"/>
      <c r="HE106" s="191"/>
      <c r="HF106" s="191"/>
      <c r="HG106" s="191"/>
      <c r="HH106" s="191"/>
      <c r="HI106" s="191"/>
      <c r="HJ106" s="191"/>
      <c r="HK106" s="191"/>
      <c r="HL106" s="191"/>
      <c r="HM106" s="191"/>
      <c r="HN106" s="191"/>
      <c r="HO106" s="191"/>
      <c r="HP106" s="191"/>
      <c r="HQ106" s="191"/>
      <c r="HR106" s="191"/>
      <c r="HS106" s="191"/>
      <c r="HT106" s="191"/>
      <c r="HU106" s="191"/>
      <c r="HV106" s="191"/>
      <c r="HW106" s="191"/>
      <c r="HX106" s="191"/>
      <c r="HY106" s="191"/>
      <c r="HZ106" s="191"/>
      <c r="IA106" s="191"/>
      <c r="IB106" s="191"/>
    </row>
    <row r="107" spans="1:236" s="137" customFormat="1" ht="14.25">
      <c r="A107" s="190"/>
      <c r="B107" s="190"/>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c r="BC107" s="191"/>
      <c r="BD107" s="191"/>
      <c r="BE107" s="191"/>
      <c r="BF107" s="191"/>
      <c r="BG107" s="191"/>
      <c r="BH107" s="191"/>
      <c r="BI107" s="191"/>
      <c r="BJ107" s="191"/>
      <c r="BK107" s="191"/>
      <c r="BL107" s="191"/>
      <c r="BM107" s="191"/>
      <c r="BN107" s="191"/>
      <c r="BO107" s="191"/>
      <c r="BP107" s="191"/>
      <c r="BQ107" s="191"/>
      <c r="BR107" s="191"/>
      <c r="BS107" s="191"/>
      <c r="BT107" s="191"/>
      <c r="BU107" s="191"/>
      <c r="BV107" s="191"/>
      <c r="BW107" s="191"/>
      <c r="BX107" s="191"/>
      <c r="BY107" s="191"/>
      <c r="BZ107" s="191"/>
      <c r="CA107" s="191"/>
      <c r="CB107" s="191"/>
      <c r="CC107" s="191"/>
      <c r="CD107" s="191"/>
      <c r="CE107" s="191"/>
      <c r="CF107" s="191"/>
      <c r="CG107" s="191"/>
      <c r="CH107" s="191"/>
      <c r="CI107" s="191"/>
      <c r="CJ107" s="191"/>
      <c r="CK107" s="191"/>
      <c r="CL107" s="191"/>
      <c r="CM107" s="191"/>
      <c r="CN107" s="191"/>
      <c r="CO107" s="191"/>
      <c r="CP107" s="191"/>
      <c r="CQ107" s="191"/>
      <c r="CR107" s="191"/>
      <c r="CS107" s="191"/>
      <c r="CT107" s="191"/>
      <c r="CU107" s="191"/>
      <c r="CV107" s="191"/>
      <c r="CW107" s="191"/>
      <c r="CX107" s="191"/>
      <c r="CY107" s="191"/>
      <c r="CZ107" s="191"/>
      <c r="DA107" s="191"/>
      <c r="DB107" s="191"/>
      <c r="DC107" s="191"/>
      <c r="DD107" s="191"/>
      <c r="DE107" s="191"/>
      <c r="DF107" s="191"/>
      <c r="DG107" s="191"/>
      <c r="DH107" s="191"/>
      <c r="DI107" s="191"/>
      <c r="DJ107" s="191"/>
      <c r="DK107" s="191"/>
      <c r="DL107" s="191"/>
      <c r="DM107" s="191"/>
      <c r="DN107" s="191"/>
      <c r="DO107" s="191"/>
      <c r="DP107" s="191"/>
      <c r="DQ107" s="191"/>
      <c r="DR107" s="191"/>
      <c r="DS107" s="191"/>
      <c r="DT107" s="191"/>
      <c r="DU107" s="191"/>
      <c r="DV107" s="191"/>
      <c r="DW107" s="191"/>
      <c r="DX107" s="191"/>
      <c r="DY107" s="191"/>
      <c r="DZ107" s="191"/>
      <c r="EA107" s="191"/>
      <c r="EB107" s="191"/>
      <c r="EC107" s="191"/>
      <c r="ED107" s="191"/>
      <c r="EE107" s="191"/>
      <c r="EF107" s="191"/>
      <c r="EG107" s="191"/>
      <c r="EH107" s="191"/>
      <c r="EI107" s="191"/>
      <c r="EJ107" s="191"/>
      <c r="EK107" s="191"/>
      <c r="EL107" s="191"/>
      <c r="EM107" s="191"/>
      <c r="EN107" s="191"/>
      <c r="EO107" s="191"/>
      <c r="EP107" s="191"/>
      <c r="EQ107" s="191"/>
      <c r="ER107" s="191"/>
      <c r="ES107" s="191"/>
      <c r="ET107" s="191"/>
      <c r="EU107" s="191"/>
      <c r="EV107" s="191"/>
      <c r="EW107" s="191"/>
      <c r="EX107" s="191"/>
      <c r="EY107" s="191"/>
      <c r="EZ107" s="191"/>
      <c r="FA107" s="191"/>
      <c r="FB107" s="191"/>
      <c r="FC107" s="191"/>
      <c r="FD107" s="191"/>
      <c r="FE107" s="191"/>
      <c r="FF107" s="191"/>
      <c r="FG107" s="191"/>
      <c r="FH107" s="191"/>
      <c r="FI107" s="191"/>
      <c r="FJ107" s="191"/>
      <c r="FK107" s="191"/>
      <c r="FL107" s="191"/>
      <c r="FM107" s="191"/>
      <c r="FN107" s="191"/>
      <c r="FO107" s="191"/>
      <c r="FP107" s="191"/>
      <c r="FQ107" s="191"/>
      <c r="FR107" s="191"/>
      <c r="FS107" s="191"/>
      <c r="FT107" s="191"/>
      <c r="FU107" s="191"/>
      <c r="FV107" s="191"/>
      <c r="FW107" s="191"/>
      <c r="FX107" s="191"/>
      <c r="FY107" s="191"/>
      <c r="FZ107" s="191"/>
      <c r="GA107" s="191"/>
      <c r="GB107" s="191"/>
      <c r="GC107" s="191"/>
      <c r="GD107" s="191"/>
      <c r="GE107" s="191"/>
      <c r="GF107" s="191"/>
      <c r="GG107" s="191"/>
      <c r="GH107" s="191"/>
      <c r="GI107" s="191"/>
      <c r="GJ107" s="191"/>
      <c r="GK107" s="191"/>
      <c r="GL107" s="191"/>
      <c r="GM107" s="191"/>
      <c r="GN107" s="191"/>
      <c r="GO107" s="191"/>
      <c r="GP107" s="191"/>
      <c r="GQ107" s="191"/>
      <c r="GR107" s="191"/>
      <c r="GS107" s="191"/>
      <c r="GT107" s="191"/>
      <c r="GU107" s="191"/>
      <c r="GV107" s="191"/>
      <c r="GW107" s="191"/>
      <c r="GX107" s="191"/>
      <c r="GY107" s="191"/>
      <c r="GZ107" s="191"/>
      <c r="HA107" s="191"/>
      <c r="HB107" s="191"/>
      <c r="HC107" s="191"/>
      <c r="HD107" s="191"/>
      <c r="HE107" s="191"/>
      <c r="HF107" s="191"/>
      <c r="HG107" s="191"/>
      <c r="HH107" s="191"/>
      <c r="HI107" s="191"/>
      <c r="HJ107" s="191"/>
      <c r="HK107" s="191"/>
      <c r="HL107" s="191"/>
      <c r="HM107" s="191"/>
      <c r="HN107" s="191"/>
      <c r="HO107" s="191"/>
      <c r="HP107" s="191"/>
      <c r="HQ107" s="191"/>
      <c r="HR107" s="191"/>
      <c r="HS107" s="191"/>
      <c r="HT107" s="191"/>
      <c r="HU107" s="191"/>
      <c r="HV107" s="191"/>
      <c r="HW107" s="191"/>
      <c r="HX107" s="191"/>
      <c r="HY107" s="191"/>
      <c r="HZ107" s="191"/>
      <c r="IA107" s="191"/>
      <c r="IB107" s="191"/>
    </row>
    <row r="108" spans="1:236" s="137" customFormat="1" ht="14.25">
      <c r="A108" s="190"/>
      <c r="B108" s="190"/>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c r="BC108" s="190"/>
      <c r="BD108" s="190"/>
      <c r="BE108" s="190"/>
      <c r="BF108" s="190"/>
      <c r="BG108" s="190"/>
      <c r="BH108" s="190"/>
      <c r="BI108" s="190"/>
      <c r="BJ108" s="190"/>
      <c r="BK108" s="190"/>
      <c r="BL108" s="190"/>
      <c r="BM108" s="190"/>
      <c r="BN108" s="190"/>
      <c r="BO108" s="190"/>
      <c r="BP108" s="190"/>
      <c r="BQ108" s="190"/>
      <c r="BR108" s="190"/>
      <c r="BS108" s="190"/>
      <c r="BT108" s="190"/>
      <c r="BU108" s="190"/>
      <c r="BV108" s="190"/>
      <c r="BW108" s="190"/>
      <c r="BX108" s="190"/>
      <c r="BY108" s="190"/>
      <c r="BZ108" s="190"/>
      <c r="CA108" s="190"/>
      <c r="CB108" s="190"/>
      <c r="CC108" s="190"/>
      <c r="CD108" s="190"/>
      <c r="CE108" s="190"/>
      <c r="CF108" s="190"/>
      <c r="CG108" s="190"/>
      <c r="CH108" s="190"/>
      <c r="CI108" s="190"/>
      <c r="CJ108" s="190"/>
      <c r="CK108" s="190"/>
      <c r="CL108" s="190"/>
      <c r="CM108" s="190"/>
      <c r="CN108" s="190"/>
      <c r="CO108" s="190"/>
      <c r="CP108" s="190"/>
      <c r="CQ108" s="190"/>
      <c r="CR108" s="190"/>
      <c r="CS108" s="190"/>
      <c r="CT108" s="190"/>
      <c r="CU108" s="190"/>
      <c r="CV108" s="190"/>
      <c r="CW108" s="190"/>
      <c r="CX108" s="190"/>
      <c r="CY108" s="190"/>
      <c r="CZ108" s="190"/>
      <c r="DA108" s="190"/>
      <c r="DB108" s="190"/>
      <c r="DC108" s="190"/>
      <c r="DD108" s="190"/>
      <c r="DE108" s="190"/>
      <c r="DF108" s="190"/>
      <c r="DG108" s="190"/>
      <c r="DH108" s="190"/>
      <c r="DI108" s="190"/>
      <c r="DJ108" s="190"/>
      <c r="DK108" s="190"/>
      <c r="DL108" s="190"/>
      <c r="DM108" s="190"/>
      <c r="DN108" s="190"/>
      <c r="DO108" s="190"/>
      <c r="DP108" s="190"/>
      <c r="DQ108" s="190"/>
      <c r="DR108" s="190"/>
      <c r="DS108" s="190"/>
      <c r="DT108" s="190"/>
      <c r="DU108" s="190"/>
      <c r="DV108" s="190"/>
      <c r="DW108" s="190"/>
      <c r="DX108" s="190"/>
      <c r="DY108" s="190"/>
      <c r="DZ108" s="190"/>
      <c r="EA108" s="190"/>
      <c r="EB108" s="190"/>
      <c r="EC108" s="190"/>
      <c r="ED108" s="190"/>
      <c r="EE108" s="190"/>
      <c r="EF108" s="190"/>
      <c r="EG108" s="190"/>
      <c r="EH108" s="190"/>
      <c r="EI108" s="190"/>
      <c r="EJ108" s="190"/>
      <c r="EK108" s="190"/>
      <c r="EL108" s="190"/>
      <c r="EM108" s="190"/>
      <c r="EN108" s="190"/>
      <c r="EO108" s="190"/>
      <c r="EP108" s="190"/>
      <c r="EQ108" s="190"/>
      <c r="ER108" s="190"/>
      <c r="ES108" s="190"/>
      <c r="ET108" s="190"/>
      <c r="EU108" s="190"/>
      <c r="EV108" s="190"/>
      <c r="EW108" s="190"/>
      <c r="EX108" s="190"/>
      <c r="EY108" s="190"/>
      <c r="EZ108" s="190"/>
      <c r="FA108" s="190"/>
      <c r="FB108" s="190"/>
      <c r="FC108" s="190"/>
      <c r="FD108" s="190"/>
      <c r="FE108" s="190"/>
      <c r="FF108" s="190"/>
      <c r="FG108" s="190"/>
      <c r="FH108" s="190"/>
      <c r="FI108" s="190"/>
      <c r="FJ108" s="190"/>
      <c r="FK108" s="190"/>
      <c r="FL108" s="190"/>
      <c r="FM108" s="190"/>
      <c r="FN108" s="190"/>
      <c r="FO108" s="190"/>
      <c r="FP108" s="190"/>
      <c r="FQ108" s="190"/>
      <c r="FR108" s="190"/>
      <c r="FS108" s="190"/>
      <c r="FT108" s="190"/>
      <c r="FU108" s="190"/>
      <c r="FV108" s="190"/>
      <c r="FW108" s="190"/>
      <c r="FX108" s="190"/>
      <c r="FY108" s="190"/>
      <c r="FZ108" s="190"/>
      <c r="GA108" s="190"/>
      <c r="GB108" s="190"/>
      <c r="GC108" s="190"/>
      <c r="GD108" s="190"/>
      <c r="GE108" s="190"/>
      <c r="GF108" s="190"/>
      <c r="GG108" s="190"/>
      <c r="GH108" s="190"/>
      <c r="GI108" s="190"/>
      <c r="GJ108" s="190"/>
      <c r="GK108" s="190"/>
      <c r="GL108" s="190"/>
      <c r="GM108" s="190"/>
      <c r="GN108" s="190"/>
      <c r="GO108" s="190"/>
      <c r="GP108" s="190"/>
      <c r="GQ108" s="190"/>
      <c r="GR108" s="190"/>
      <c r="GS108" s="190"/>
      <c r="GT108" s="190"/>
      <c r="GU108" s="190"/>
      <c r="GV108" s="190"/>
      <c r="GW108" s="190"/>
      <c r="GX108" s="190"/>
      <c r="GY108" s="190"/>
      <c r="GZ108" s="190"/>
      <c r="HA108" s="190"/>
      <c r="HB108" s="190"/>
      <c r="HC108" s="190"/>
      <c r="HD108" s="190"/>
      <c r="HE108" s="190"/>
      <c r="HF108" s="190"/>
      <c r="HG108" s="190"/>
      <c r="HH108" s="190"/>
      <c r="HI108" s="190"/>
      <c r="HJ108" s="190"/>
      <c r="HK108" s="190"/>
      <c r="HL108" s="190"/>
      <c r="HM108" s="190"/>
      <c r="HN108" s="190"/>
      <c r="HO108" s="190"/>
      <c r="HP108" s="190"/>
      <c r="HQ108" s="190"/>
      <c r="HR108" s="190"/>
      <c r="HS108" s="190"/>
      <c r="HT108" s="190"/>
      <c r="HU108" s="190"/>
      <c r="HV108" s="190"/>
      <c r="HW108" s="190"/>
      <c r="HX108" s="190"/>
      <c r="HY108" s="190"/>
      <c r="HZ108" s="190"/>
      <c r="IA108" s="190"/>
      <c r="IB108" s="190"/>
    </row>
    <row r="109" spans="1:236" s="137" customFormat="1" ht="14.25">
      <c r="A109" s="190"/>
      <c r="B109" s="190"/>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0"/>
      <c r="BR109" s="190"/>
      <c r="BS109" s="190"/>
      <c r="BT109" s="190"/>
      <c r="BU109" s="190"/>
      <c r="BV109" s="190"/>
      <c r="BW109" s="190"/>
      <c r="BX109" s="190"/>
      <c r="BY109" s="190"/>
      <c r="BZ109" s="190"/>
      <c r="CA109" s="190"/>
      <c r="CB109" s="190"/>
      <c r="CC109" s="190"/>
      <c r="CD109" s="190"/>
      <c r="CE109" s="190"/>
      <c r="CF109" s="190"/>
      <c r="CG109" s="190"/>
      <c r="CH109" s="190"/>
      <c r="CI109" s="190"/>
      <c r="CJ109" s="190"/>
      <c r="CK109" s="190"/>
      <c r="CL109" s="190"/>
      <c r="CM109" s="190"/>
      <c r="CN109" s="190"/>
      <c r="CO109" s="190"/>
      <c r="CP109" s="190"/>
      <c r="CQ109" s="190"/>
      <c r="CR109" s="190"/>
      <c r="CS109" s="190"/>
      <c r="CT109" s="190"/>
      <c r="CU109" s="190"/>
      <c r="CV109" s="190"/>
      <c r="CW109" s="190"/>
      <c r="CX109" s="190"/>
      <c r="CY109" s="190"/>
      <c r="CZ109" s="190"/>
      <c r="DA109" s="190"/>
      <c r="DB109" s="190"/>
      <c r="DC109" s="190"/>
      <c r="DD109" s="190"/>
      <c r="DE109" s="190"/>
      <c r="DF109" s="190"/>
      <c r="DG109" s="190"/>
      <c r="DH109" s="190"/>
      <c r="DI109" s="190"/>
      <c r="DJ109" s="190"/>
      <c r="DK109" s="190"/>
      <c r="DL109" s="190"/>
      <c r="DM109" s="190"/>
      <c r="DN109" s="190"/>
      <c r="DO109" s="190"/>
      <c r="DP109" s="190"/>
      <c r="DQ109" s="190"/>
      <c r="DR109" s="190"/>
      <c r="DS109" s="190"/>
      <c r="DT109" s="190"/>
      <c r="DU109" s="190"/>
      <c r="DV109" s="190"/>
      <c r="DW109" s="190"/>
      <c r="DX109" s="190"/>
      <c r="DY109" s="190"/>
      <c r="DZ109" s="190"/>
      <c r="EA109" s="190"/>
      <c r="EB109" s="190"/>
      <c r="EC109" s="190"/>
      <c r="ED109" s="190"/>
      <c r="EE109" s="190"/>
      <c r="EF109" s="190"/>
      <c r="EG109" s="190"/>
      <c r="EH109" s="190"/>
      <c r="EI109" s="190"/>
      <c r="EJ109" s="190"/>
      <c r="EK109" s="190"/>
      <c r="EL109" s="190"/>
      <c r="EM109" s="190"/>
      <c r="EN109" s="190"/>
      <c r="EO109" s="190"/>
      <c r="EP109" s="190"/>
      <c r="EQ109" s="190"/>
      <c r="ER109" s="190"/>
      <c r="ES109" s="190"/>
      <c r="ET109" s="190"/>
      <c r="EU109" s="190"/>
      <c r="EV109" s="190"/>
      <c r="EW109" s="190"/>
      <c r="EX109" s="190"/>
      <c r="EY109" s="190"/>
      <c r="EZ109" s="190"/>
      <c r="FA109" s="190"/>
      <c r="FB109" s="190"/>
      <c r="FC109" s="190"/>
      <c r="FD109" s="190"/>
      <c r="FE109" s="190"/>
      <c r="FF109" s="190"/>
      <c r="FG109" s="190"/>
      <c r="FH109" s="190"/>
      <c r="FI109" s="190"/>
      <c r="FJ109" s="190"/>
      <c r="FK109" s="190"/>
      <c r="FL109" s="190"/>
      <c r="FM109" s="190"/>
      <c r="FN109" s="190"/>
      <c r="FO109" s="190"/>
      <c r="FP109" s="190"/>
      <c r="FQ109" s="190"/>
      <c r="FR109" s="190"/>
      <c r="FS109" s="190"/>
      <c r="FT109" s="190"/>
      <c r="FU109" s="190"/>
      <c r="FV109" s="190"/>
      <c r="FW109" s="190"/>
      <c r="FX109" s="190"/>
      <c r="FY109" s="190"/>
      <c r="FZ109" s="190"/>
      <c r="GA109" s="190"/>
      <c r="GB109" s="190"/>
      <c r="GC109" s="190"/>
      <c r="GD109" s="190"/>
      <c r="GE109" s="190"/>
      <c r="GF109" s="190"/>
      <c r="GG109" s="190"/>
      <c r="GH109" s="190"/>
      <c r="GI109" s="190"/>
      <c r="GJ109" s="190"/>
      <c r="GK109" s="190"/>
      <c r="GL109" s="190"/>
      <c r="GM109" s="190"/>
      <c r="GN109" s="190"/>
      <c r="GO109" s="190"/>
      <c r="GP109" s="190"/>
      <c r="GQ109" s="190"/>
      <c r="GR109" s="190"/>
      <c r="GS109" s="190"/>
      <c r="GT109" s="190"/>
      <c r="GU109" s="190"/>
      <c r="GV109" s="190"/>
      <c r="GW109" s="190"/>
      <c r="GX109" s="190"/>
      <c r="GY109" s="190"/>
      <c r="GZ109" s="190"/>
      <c r="HA109" s="190"/>
      <c r="HB109" s="190"/>
      <c r="HC109" s="190"/>
      <c r="HD109" s="190"/>
      <c r="HE109" s="190"/>
      <c r="HF109" s="190"/>
      <c r="HG109" s="190"/>
      <c r="HH109" s="190"/>
      <c r="HI109" s="190"/>
      <c r="HJ109" s="190"/>
      <c r="HK109" s="190"/>
      <c r="HL109" s="190"/>
      <c r="HM109" s="190"/>
      <c r="HN109" s="190"/>
      <c r="HO109" s="190"/>
      <c r="HP109" s="190"/>
      <c r="HQ109" s="190"/>
      <c r="HR109" s="190"/>
      <c r="HS109" s="190"/>
      <c r="HT109" s="190"/>
      <c r="HU109" s="190"/>
      <c r="HV109" s="190"/>
      <c r="HW109" s="190"/>
      <c r="HX109" s="190"/>
      <c r="HY109" s="190"/>
      <c r="HZ109" s="190"/>
      <c r="IA109" s="190"/>
      <c r="IB109" s="190"/>
    </row>
    <row r="110" spans="1:236" s="137" customFormat="1" ht="14.25">
      <c r="A110" s="190"/>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c r="BF110" s="190"/>
      <c r="BG110" s="190"/>
      <c r="BH110" s="190"/>
      <c r="BI110" s="190"/>
      <c r="BJ110" s="190"/>
      <c r="BK110" s="190"/>
      <c r="BL110" s="190"/>
      <c r="BM110" s="190"/>
      <c r="BN110" s="190"/>
      <c r="BO110" s="190"/>
      <c r="BP110" s="190"/>
      <c r="BQ110" s="190"/>
      <c r="BR110" s="190"/>
      <c r="BS110" s="190"/>
      <c r="BT110" s="190"/>
      <c r="BU110" s="190"/>
      <c r="BV110" s="190"/>
      <c r="BW110" s="190"/>
      <c r="BX110" s="190"/>
      <c r="BY110" s="190"/>
      <c r="BZ110" s="190"/>
      <c r="CA110" s="190"/>
      <c r="CB110" s="190"/>
      <c r="CC110" s="190"/>
      <c r="CD110" s="190"/>
      <c r="CE110" s="190"/>
      <c r="CF110" s="190"/>
      <c r="CG110" s="190"/>
      <c r="CH110" s="190"/>
      <c r="CI110" s="190"/>
      <c r="CJ110" s="190"/>
      <c r="CK110" s="190"/>
      <c r="CL110" s="190"/>
      <c r="CM110" s="190"/>
      <c r="CN110" s="190"/>
      <c r="CO110" s="190"/>
      <c r="CP110" s="190"/>
      <c r="CQ110" s="190"/>
      <c r="CR110" s="190"/>
      <c r="CS110" s="190"/>
      <c r="CT110" s="190"/>
      <c r="CU110" s="190"/>
      <c r="CV110" s="190"/>
      <c r="CW110" s="190"/>
      <c r="CX110" s="190"/>
      <c r="CY110" s="190"/>
      <c r="CZ110" s="190"/>
      <c r="DA110" s="190"/>
      <c r="DB110" s="190"/>
      <c r="DC110" s="190"/>
      <c r="DD110" s="190"/>
      <c r="DE110" s="190"/>
      <c r="DF110" s="190"/>
      <c r="DG110" s="190"/>
      <c r="DH110" s="190"/>
      <c r="DI110" s="190"/>
      <c r="DJ110" s="190"/>
      <c r="DK110" s="190"/>
      <c r="DL110" s="190"/>
      <c r="DM110" s="190"/>
      <c r="DN110" s="190"/>
      <c r="DO110" s="190"/>
      <c r="DP110" s="190"/>
      <c r="DQ110" s="190"/>
      <c r="DR110" s="190"/>
      <c r="DS110" s="190"/>
      <c r="DT110" s="190"/>
      <c r="DU110" s="190"/>
      <c r="DV110" s="190"/>
      <c r="DW110" s="190"/>
      <c r="DX110" s="190"/>
      <c r="DY110" s="190"/>
      <c r="DZ110" s="190"/>
      <c r="EA110" s="190"/>
      <c r="EB110" s="190"/>
      <c r="EC110" s="190"/>
      <c r="ED110" s="190"/>
      <c r="EE110" s="190"/>
      <c r="EF110" s="190"/>
      <c r="EG110" s="190"/>
      <c r="EH110" s="190"/>
      <c r="EI110" s="190"/>
      <c r="EJ110" s="190"/>
      <c r="EK110" s="190"/>
      <c r="EL110" s="190"/>
      <c r="EM110" s="190"/>
      <c r="EN110" s="190"/>
      <c r="EO110" s="190"/>
      <c r="EP110" s="190"/>
      <c r="EQ110" s="190"/>
      <c r="ER110" s="190"/>
      <c r="ES110" s="190"/>
      <c r="ET110" s="190"/>
      <c r="EU110" s="190"/>
      <c r="EV110" s="190"/>
      <c r="EW110" s="190"/>
      <c r="EX110" s="190"/>
      <c r="EY110" s="190"/>
      <c r="EZ110" s="190"/>
      <c r="FA110" s="190"/>
      <c r="FB110" s="190"/>
      <c r="FC110" s="190"/>
      <c r="FD110" s="190"/>
      <c r="FE110" s="190"/>
      <c r="FF110" s="190"/>
      <c r="FG110" s="190"/>
      <c r="FH110" s="190"/>
      <c r="FI110" s="190"/>
      <c r="FJ110" s="190"/>
      <c r="FK110" s="190"/>
      <c r="FL110" s="190"/>
      <c r="FM110" s="190"/>
      <c r="FN110" s="190"/>
      <c r="FO110" s="190"/>
      <c r="FP110" s="190"/>
      <c r="FQ110" s="190"/>
      <c r="FR110" s="190"/>
      <c r="FS110" s="190"/>
      <c r="FT110" s="190"/>
      <c r="FU110" s="190"/>
      <c r="FV110" s="190"/>
      <c r="FW110" s="190"/>
      <c r="FX110" s="190"/>
      <c r="FY110" s="190"/>
      <c r="FZ110" s="190"/>
      <c r="GA110" s="190"/>
      <c r="GB110" s="190"/>
      <c r="GC110" s="190"/>
      <c r="GD110" s="190"/>
      <c r="GE110" s="190"/>
      <c r="GF110" s="190"/>
      <c r="GG110" s="190"/>
      <c r="GH110" s="190"/>
      <c r="GI110" s="190"/>
      <c r="GJ110" s="190"/>
      <c r="GK110" s="190"/>
      <c r="GL110" s="190"/>
      <c r="GM110" s="190"/>
      <c r="GN110" s="190"/>
      <c r="GO110" s="190"/>
      <c r="GP110" s="190"/>
      <c r="GQ110" s="190"/>
      <c r="GR110" s="190"/>
      <c r="GS110" s="190"/>
      <c r="GT110" s="190"/>
      <c r="GU110" s="190"/>
      <c r="GV110" s="190"/>
      <c r="GW110" s="190"/>
      <c r="GX110" s="190"/>
      <c r="GY110" s="190"/>
      <c r="GZ110" s="190"/>
      <c r="HA110" s="190"/>
      <c r="HB110" s="190"/>
      <c r="HC110" s="190"/>
      <c r="HD110" s="190"/>
      <c r="HE110" s="190"/>
      <c r="HF110" s="190"/>
      <c r="HG110" s="190"/>
      <c r="HH110" s="190"/>
      <c r="HI110" s="190"/>
      <c r="HJ110" s="190"/>
      <c r="HK110" s="190"/>
      <c r="HL110" s="190"/>
      <c r="HM110" s="190"/>
      <c r="HN110" s="190"/>
      <c r="HO110" s="190"/>
      <c r="HP110" s="190"/>
      <c r="HQ110" s="190"/>
      <c r="HR110" s="190"/>
      <c r="HS110" s="190"/>
      <c r="HT110" s="190"/>
      <c r="HU110" s="190"/>
      <c r="HV110" s="190"/>
      <c r="HW110" s="190"/>
      <c r="HX110" s="190"/>
      <c r="HY110" s="190"/>
      <c r="HZ110" s="190"/>
      <c r="IA110" s="190"/>
      <c r="IB110" s="190"/>
    </row>
    <row r="111" spans="1:236" s="137" customFormat="1" ht="14.25">
      <c r="A111" s="190"/>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0"/>
      <c r="BT111" s="190"/>
      <c r="BU111" s="190"/>
      <c r="BV111" s="190"/>
      <c r="BW111" s="190"/>
      <c r="BX111" s="190"/>
      <c r="BY111" s="190"/>
      <c r="BZ111" s="190"/>
      <c r="CA111" s="190"/>
      <c r="CB111" s="190"/>
      <c r="CC111" s="190"/>
      <c r="CD111" s="190"/>
      <c r="CE111" s="190"/>
      <c r="CF111" s="190"/>
      <c r="CG111" s="190"/>
      <c r="CH111" s="190"/>
      <c r="CI111" s="190"/>
      <c r="CJ111" s="190"/>
      <c r="CK111" s="190"/>
      <c r="CL111" s="190"/>
      <c r="CM111" s="190"/>
      <c r="CN111" s="190"/>
      <c r="CO111" s="190"/>
      <c r="CP111" s="190"/>
      <c r="CQ111" s="190"/>
      <c r="CR111" s="190"/>
      <c r="CS111" s="190"/>
      <c r="CT111" s="190"/>
      <c r="CU111" s="190"/>
      <c r="CV111" s="190"/>
      <c r="CW111" s="190"/>
      <c r="CX111" s="190"/>
      <c r="CY111" s="190"/>
      <c r="CZ111" s="190"/>
      <c r="DA111" s="190"/>
      <c r="DB111" s="190"/>
      <c r="DC111" s="190"/>
      <c r="DD111" s="190"/>
      <c r="DE111" s="190"/>
      <c r="DF111" s="190"/>
      <c r="DG111" s="190"/>
      <c r="DH111" s="190"/>
      <c r="DI111" s="190"/>
      <c r="DJ111" s="190"/>
      <c r="DK111" s="190"/>
      <c r="DL111" s="190"/>
      <c r="DM111" s="190"/>
      <c r="DN111" s="190"/>
      <c r="DO111" s="190"/>
      <c r="DP111" s="190"/>
      <c r="DQ111" s="190"/>
      <c r="DR111" s="190"/>
      <c r="DS111" s="190"/>
      <c r="DT111" s="190"/>
      <c r="DU111" s="190"/>
      <c r="DV111" s="190"/>
      <c r="DW111" s="190"/>
      <c r="DX111" s="190"/>
      <c r="DY111" s="190"/>
      <c r="DZ111" s="190"/>
      <c r="EA111" s="190"/>
      <c r="EB111" s="190"/>
      <c r="EC111" s="190"/>
      <c r="ED111" s="190"/>
      <c r="EE111" s="190"/>
      <c r="EF111" s="190"/>
      <c r="EG111" s="190"/>
      <c r="EH111" s="190"/>
      <c r="EI111" s="190"/>
      <c r="EJ111" s="190"/>
      <c r="EK111" s="190"/>
      <c r="EL111" s="190"/>
      <c r="EM111" s="190"/>
      <c r="EN111" s="190"/>
      <c r="EO111" s="190"/>
      <c r="EP111" s="190"/>
      <c r="EQ111" s="190"/>
      <c r="ER111" s="190"/>
      <c r="ES111" s="190"/>
      <c r="ET111" s="190"/>
      <c r="EU111" s="190"/>
      <c r="EV111" s="190"/>
      <c r="EW111" s="190"/>
      <c r="EX111" s="190"/>
      <c r="EY111" s="190"/>
      <c r="EZ111" s="190"/>
      <c r="FA111" s="190"/>
      <c r="FB111" s="190"/>
      <c r="FC111" s="190"/>
      <c r="FD111" s="190"/>
      <c r="FE111" s="190"/>
      <c r="FF111" s="190"/>
      <c r="FG111" s="190"/>
      <c r="FH111" s="190"/>
      <c r="FI111" s="190"/>
      <c r="FJ111" s="190"/>
      <c r="FK111" s="190"/>
      <c r="FL111" s="190"/>
      <c r="FM111" s="190"/>
      <c r="FN111" s="190"/>
      <c r="FO111" s="190"/>
      <c r="FP111" s="190"/>
      <c r="FQ111" s="190"/>
      <c r="FR111" s="190"/>
      <c r="FS111" s="190"/>
      <c r="FT111" s="190"/>
      <c r="FU111" s="190"/>
      <c r="FV111" s="190"/>
      <c r="FW111" s="190"/>
      <c r="FX111" s="190"/>
      <c r="FY111" s="190"/>
      <c r="FZ111" s="190"/>
      <c r="GA111" s="190"/>
      <c r="GB111" s="190"/>
      <c r="GC111" s="190"/>
      <c r="GD111" s="190"/>
      <c r="GE111" s="190"/>
      <c r="GF111" s="190"/>
      <c r="GG111" s="190"/>
      <c r="GH111" s="190"/>
      <c r="GI111" s="190"/>
      <c r="GJ111" s="190"/>
      <c r="GK111" s="190"/>
      <c r="GL111" s="190"/>
      <c r="GM111" s="190"/>
      <c r="GN111" s="190"/>
      <c r="GO111" s="190"/>
      <c r="GP111" s="190"/>
      <c r="GQ111" s="190"/>
      <c r="GR111" s="190"/>
      <c r="GS111" s="190"/>
      <c r="GT111" s="190"/>
      <c r="GU111" s="190"/>
      <c r="GV111" s="190"/>
      <c r="GW111" s="190"/>
      <c r="GX111" s="190"/>
      <c r="GY111" s="190"/>
      <c r="GZ111" s="190"/>
      <c r="HA111" s="190"/>
      <c r="HB111" s="190"/>
      <c r="HC111" s="190"/>
      <c r="HD111" s="190"/>
      <c r="HE111" s="190"/>
      <c r="HF111" s="190"/>
      <c r="HG111" s="190"/>
      <c r="HH111" s="190"/>
      <c r="HI111" s="190"/>
      <c r="HJ111" s="190"/>
      <c r="HK111" s="190"/>
      <c r="HL111" s="190"/>
      <c r="HM111" s="190"/>
      <c r="HN111" s="190"/>
      <c r="HO111" s="190"/>
      <c r="HP111" s="190"/>
      <c r="HQ111" s="190"/>
      <c r="HR111" s="190"/>
      <c r="HS111" s="190"/>
      <c r="HT111" s="190"/>
      <c r="HU111" s="190"/>
      <c r="HV111" s="190"/>
      <c r="HW111" s="190"/>
      <c r="HX111" s="190"/>
      <c r="HY111" s="190"/>
      <c r="HZ111" s="190"/>
      <c r="IA111" s="190"/>
      <c r="IB111" s="190"/>
    </row>
    <row r="112" spans="1:236" s="137" customFormat="1" ht="14.25">
      <c r="A112" s="190"/>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c r="BC112" s="190"/>
      <c r="BD112" s="190"/>
      <c r="BE112" s="190"/>
      <c r="BF112" s="190"/>
      <c r="BG112" s="190"/>
      <c r="BH112" s="190"/>
      <c r="BI112" s="190"/>
      <c r="BJ112" s="190"/>
      <c r="BK112" s="190"/>
      <c r="BL112" s="190"/>
      <c r="BM112" s="190"/>
      <c r="BN112" s="190"/>
      <c r="BO112" s="190"/>
      <c r="BP112" s="190"/>
      <c r="BQ112" s="190"/>
      <c r="BR112" s="190"/>
      <c r="BS112" s="190"/>
      <c r="BT112" s="190"/>
      <c r="BU112" s="190"/>
      <c r="BV112" s="190"/>
      <c r="BW112" s="190"/>
      <c r="BX112" s="190"/>
      <c r="BY112" s="190"/>
      <c r="BZ112" s="190"/>
      <c r="CA112" s="190"/>
      <c r="CB112" s="190"/>
      <c r="CC112" s="190"/>
      <c r="CD112" s="190"/>
      <c r="CE112" s="190"/>
      <c r="CF112" s="190"/>
      <c r="CG112" s="190"/>
      <c r="CH112" s="190"/>
      <c r="CI112" s="190"/>
      <c r="CJ112" s="190"/>
      <c r="CK112" s="190"/>
      <c r="CL112" s="190"/>
      <c r="CM112" s="190"/>
      <c r="CN112" s="190"/>
      <c r="CO112" s="190"/>
      <c r="CP112" s="190"/>
      <c r="CQ112" s="190"/>
      <c r="CR112" s="190"/>
      <c r="CS112" s="190"/>
      <c r="CT112" s="190"/>
      <c r="CU112" s="190"/>
      <c r="CV112" s="190"/>
      <c r="CW112" s="190"/>
      <c r="CX112" s="190"/>
      <c r="CY112" s="190"/>
      <c r="CZ112" s="190"/>
      <c r="DA112" s="190"/>
      <c r="DB112" s="190"/>
      <c r="DC112" s="190"/>
      <c r="DD112" s="190"/>
      <c r="DE112" s="190"/>
      <c r="DF112" s="190"/>
      <c r="DG112" s="190"/>
      <c r="DH112" s="190"/>
      <c r="DI112" s="190"/>
      <c r="DJ112" s="190"/>
      <c r="DK112" s="190"/>
      <c r="DL112" s="190"/>
      <c r="DM112" s="190"/>
      <c r="DN112" s="190"/>
      <c r="DO112" s="190"/>
      <c r="DP112" s="190"/>
      <c r="DQ112" s="190"/>
      <c r="DR112" s="190"/>
      <c r="DS112" s="190"/>
      <c r="DT112" s="190"/>
      <c r="DU112" s="190"/>
      <c r="DV112" s="190"/>
      <c r="DW112" s="190"/>
      <c r="DX112" s="190"/>
      <c r="DY112" s="190"/>
      <c r="DZ112" s="190"/>
      <c r="EA112" s="190"/>
      <c r="EB112" s="190"/>
      <c r="EC112" s="190"/>
      <c r="ED112" s="190"/>
      <c r="EE112" s="190"/>
      <c r="EF112" s="190"/>
      <c r="EG112" s="190"/>
      <c r="EH112" s="190"/>
      <c r="EI112" s="190"/>
      <c r="EJ112" s="190"/>
      <c r="EK112" s="190"/>
      <c r="EL112" s="190"/>
      <c r="EM112" s="190"/>
      <c r="EN112" s="190"/>
      <c r="EO112" s="190"/>
      <c r="EP112" s="190"/>
      <c r="EQ112" s="190"/>
      <c r="ER112" s="190"/>
      <c r="ES112" s="190"/>
      <c r="ET112" s="190"/>
      <c r="EU112" s="190"/>
      <c r="EV112" s="190"/>
      <c r="EW112" s="190"/>
      <c r="EX112" s="190"/>
      <c r="EY112" s="190"/>
      <c r="EZ112" s="190"/>
      <c r="FA112" s="190"/>
      <c r="FB112" s="190"/>
      <c r="FC112" s="190"/>
      <c r="FD112" s="190"/>
      <c r="FE112" s="190"/>
      <c r="FF112" s="190"/>
      <c r="FG112" s="190"/>
      <c r="FH112" s="190"/>
      <c r="FI112" s="190"/>
      <c r="FJ112" s="190"/>
      <c r="FK112" s="190"/>
      <c r="FL112" s="190"/>
      <c r="FM112" s="190"/>
      <c r="FN112" s="190"/>
      <c r="FO112" s="190"/>
      <c r="FP112" s="190"/>
      <c r="FQ112" s="190"/>
      <c r="FR112" s="190"/>
      <c r="FS112" s="190"/>
      <c r="FT112" s="190"/>
      <c r="FU112" s="190"/>
      <c r="FV112" s="190"/>
      <c r="FW112" s="190"/>
      <c r="FX112" s="190"/>
      <c r="FY112" s="190"/>
      <c r="FZ112" s="190"/>
      <c r="GA112" s="190"/>
      <c r="GB112" s="190"/>
      <c r="GC112" s="190"/>
      <c r="GD112" s="190"/>
      <c r="GE112" s="190"/>
      <c r="GF112" s="190"/>
      <c r="GG112" s="190"/>
      <c r="GH112" s="190"/>
      <c r="GI112" s="190"/>
      <c r="GJ112" s="190"/>
      <c r="GK112" s="190"/>
      <c r="GL112" s="190"/>
      <c r="GM112" s="190"/>
      <c r="GN112" s="190"/>
      <c r="GO112" s="190"/>
      <c r="GP112" s="190"/>
      <c r="GQ112" s="190"/>
      <c r="GR112" s="190"/>
      <c r="GS112" s="190"/>
      <c r="GT112" s="190"/>
      <c r="GU112" s="190"/>
      <c r="GV112" s="190"/>
      <c r="GW112" s="190"/>
      <c r="GX112" s="190"/>
      <c r="GY112" s="190"/>
      <c r="GZ112" s="190"/>
      <c r="HA112" s="190"/>
      <c r="HB112" s="190"/>
      <c r="HC112" s="190"/>
      <c r="HD112" s="190"/>
      <c r="HE112" s="190"/>
      <c r="HF112" s="190"/>
      <c r="HG112" s="190"/>
      <c r="HH112" s="190"/>
      <c r="HI112" s="190"/>
      <c r="HJ112" s="190"/>
      <c r="HK112" s="190"/>
      <c r="HL112" s="190"/>
      <c r="HM112" s="190"/>
      <c r="HN112" s="190"/>
      <c r="HO112" s="190"/>
      <c r="HP112" s="190"/>
      <c r="HQ112" s="190"/>
      <c r="HR112" s="190"/>
      <c r="HS112" s="190"/>
      <c r="HT112" s="190"/>
      <c r="HU112" s="190"/>
      <c r="HV112" s="190"/>
      <c r="HW112" s="190"/>
      <c r="HX112" s="190"/>
      <c r="HY112" s="190"/>
      <c r="HZ112" s="190"/>
      <c r="IA112" s="190"/>
      <c r="IB112" s="190"/>
    </row>
    <row r="113" spans="1:236" s="137" customFormat="1" ht="14.25">
      <c r="A113" s="190"/>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190"/>
      <c r="CI113" s="190"/>
      <c r="CJ113" s="190"/>
      <c r="CK113" s="190"/>
      <c r="CL113" s="190"/>
      <c r="CM113" s="190"/>
      <c r="CN113" s="190"/>
      <c r="CO113" s="190"/>
      <c r="CP113" s="190"/>
      <c r="CQ113" s="190"/>
      <c r="CR113" s="190"/>
      <c r="CS113" s="190"/>
      <c r="CT113" s="190"/>
      <c r="CU113" s="190"/>
      <c r="CV113" s="190"/>
      <c r="CW113" s="190"/>
      <c r="CX113" s="190"/>
      <c r="CY113" s="190"/>
      <c r="CZ113" s="190"/>
      <c r="DA113" s="190"/>
      <c r="DB113" s="190"/>
      <c r="DC113" s="190"/>
      <c r="DD113" s="190"/>
      <c r="DE113" s="190"/>
      <c r="DF113" s="190"/>
      <c r="DG113" s="190"/>
      <c r="DH113" s="190"/>
      <c r="DI113" s="190"/>
      <c r="DJ113" s="190"/>
      <c r="DK113" s="190"/>
      <c r="DL113" s="190"/>
      <c r="DM113" s="190"/>
      <c r="DN113" s="190"/>
      <c r="DO113" s="190"/>
      <c r="DP113" s="190"/>
      <c r="DQ113" s="190"/>
      <c r="DR113" s="190"/>
      <c r="DS113" s="190"/>
      <c r="DT113" s="190"/>
      <c r="DU113" s="190"/>
      <c r="DV113" s="190"/>
      <c r="DW113" s="190"/>
      <c r="DX113" s="190"/>
      <c r="DY113" s="190"/>
      <c r="DZ113" s="190"/>
      <c r="EA113" s="190"/>
      <c r="EB113" s="190"/>
      <c r="EC113" s="190"/>
      <c r="ED113" s="190"/>
      <c r="EE113" s="190"/>
      <c r="EF113" s="190"/>
      <c r="EG113" s="190"/>
      <c r="EH113" s="190"/>
      <c r="EI113" s="190"/>
      <c r="EJ113" s="190"/>
      <c r="EK113" s="190"/>
      <c r="EL113" s="190"/>
      <c r="EM113" s="190"/>
      <c r="EN113" s="190"/>
      <c r="EO113" s="190"/>
      <c r="EP113" s="190"/>
      <c r="EQ113" s="190"/>
      <c r="ER113" s="190"/>
      <c r="ES113" s="190"/>
      <c r="ET113" s="190"/>
      <c r="EU113" s="190"/>
      <c r="EV113" s="190"/>
      <c r="EW113" s="190"/>
      <c r="EX113" s="190"/>
      <c r="EY113" s="190"/>
      <c r="EZ113" s="190"/>
      <c r="FA113" s="190"/>
      <c r="FB113" s="190"/>
      <c r="FC113" s="190"/>
      <c r="FD113" s="190"/>
      <c r="FE113" s="190"/>
      <c r="FF113" s="190"/>
      <c r="FG113" s="190"/>
      <c r="FH113" s="190"/>
      <c r="FI113" s="190"/>
      <c r="FJ113" s="190"/>
      <c r="FK113" s="190"/>
      <c r="FL113" s="190"/>
      <c r="FM113" s="190"/>
      <c r="FN113" s="190"/>
      <c r="FO113" s="190"/>
      <c r="FP113" s="190"/>
      <c r="FQ113" s="190"/>
      <c r="FR113" s="190"/>
      <c r="FS113" s="190"/>
      <c r="FT113" s="190"/>
      <c r="FU113" s="190"/>
      <c r="FV113" s="190"/>
      <c r="FW113" s="190"/>
      <c r="FX113" s="190"/>
      <c r="FY113" s="190"/>
      <c r="FZ113" s="190"/>
      <c r="GA113" s="190"/>
      <c r="GB113" s="190"/>
      <c r="GC113" s="190"/>
      <c r="GD113" s="190"/>
      <c r="GE113" s="190"/>
      <c r="GF113" s="190"/>
      <c r="GG113" s="190"/>
      <c r="GH113" s="190"/>
      <c r="GI113" s="190"/>
      <c r="GJ113" s="190"/>
      <c r="GK113" s="190"/>
      <c r="GL113" s="190"/>
      <c r="GM113" s="190"/>
      <c r="GN113" s="190"/>
      <c r="GO113" s="190"/>
      <c r="GP113" s="190"/>
      <c r="GQ113" s="190"/>
      <c r="GR113" s="190"/>
      <c r="GS113" s="190"/>
      <c r="GT113" s="190"/>
      <c r="GU113" s="190"/>
      <c r="GV113" s="190"/>
      <c r="GW113" s="190"/>
      <c r="GX113" s="190"/>
      <c r="GY113" s="190"/>
      <c r="GZ113" s="190"/>
      <c r="HA113" s="190"/>
      <c r="HB113" s="190"/>
      <c r="HC113" s="190"/>
      <c r="HD113" s="190"/>
      <c r="HE113" s="190"/>
      <c r="HF113" s="190"/>
      <c r="HG113" s="190"/>
      <c r="HH113" s="190"/>
      <c r="HI113" s="190"/>
      <c r="HJ113" s="190"/>
      <c r="HK113" s="190"/>
      <c r="HL113" s="190"/>
      <c r="HM113" s="190"/>
      <c r="HN113" s="190"/>
      <c r="HO113" s="190"/>
      <c r="HP113" s="190"/>
      <c r="HQ113" s="190"/>
      <c r="HR113" s="190"/>
      <c r="HS113" s="190"/>
      <c r="HT113" s="190"/>
      <c r="HU113" s="190"/>
      <c r="HV113" s="190"/>
      <c r="HW113" s="190"/>
      <c r="HX113" s="190"/>
      <c r="HY113" s="190"/>
      <c r="HZ113" s="190"/>
      <c r="IA113" s="190"/>
      <c r="IB113" s="190"/>
    </row>
    <row r="114" spans="1:236" s="137" customFormat="1" ht="14.25">
      <c r="A114" s="190"/>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0"/>
      <c r="AZ114" s="190"/>
      <c r="BA114" s="190"/>
      <c r="BB114" s="190"/>
      <c r="BC114" s="190"/>
      <c r="BD114" s="190"/>
      <c r="BE114" s="190"/>
      <c r="BF114" s="190"/>
      <c r="BG114" s="190"/>
      <c r="BH114" s="190"/>
      <c r="BI114" s="190"/>
      <c r="BJ114" s="190"/>
      <c r="BK114" s="190"/>
      <c r="BL114" s="190"/>
      <c r="BM114" s="190"/>
      <c r="BN114" s="190"/>
      <c r="BO114" s="190"/>
      <c r="BP114" s="190"/>
      <c r="BQ114" s="190"/>
      <c r="BR114" s="190"/>
      <c r="BS114" s="190"/>
      <c r="BT114" s="190"/>
      <c r="BU114" s="190"/>
      <c r="BV114" s="190"/>
      <c r="BW114" s="190"/>
      <c r="BX114" s="190"/>
      <c r="BY114" s="190"/>
      <c r="BZ114" s="190"/>
      <c r="CA114" s="190"/>
      <c r="CB114" s="190"/>
      <c r="CC114" s="190"/>
      <c r="CD114" s="190"/>
      <c r="CE114" s="190"/>
      <c r="CF114" s="190"/>
      <c r="CG114" s="190"/>
      <c r="CH114" s="190"/>
      <c r="CI114" s="190"/>
      <c r="CJ114" s="190"/>
      <c r="CK114" s="190"/>
      <c r="CL114" s="190"/>
      <c r="CM114" s="190"/>
      <c r="CN114" s="190"/>
      <c r="CO114" s="190"/>
      <c r="CP114" s="190"/>
      <c r="CQ114" s="190"/>
      <c r="CR114" s="190"/>
      <c r="CS114" s="190"/>
      <c r="CT114" s="190"/>
      <c r="CU114" s="190"/>
      <c r="CV114" s="190"/>
      <c r="CW114" s="190"/>
      <c r="CX114" s="190"/>
      <c r="CY114" s="190"/>
      <c r="CZ114" s="190"/>
      <c r="DA114" s="190"/>
      <c r="DB114" s="190"/>
      <c r="DC114" s="190"/>
      <c r="DD114" s="190"/>
      <c r="DE114" s="190"/>
      <c r="DF114" s="190"/>
      <c r="DG114" s="190"/>
      <c r="DH114" s="190"/>
      <c r="DI114" s="190"/>
      <c r="DJ114" s="190"/>
      <c r="DK114" s="190"/>
      <c r="DL114" s="190"/>
      <c r="DM114" s="190"/>
      <c r="DN114" s="190"/>
      <c r="DO114" s="190"/>
      <c r="DP114" s="190"/>
      <c r="DQ114" s="190"/>
      <c r="DR114" s="190"/>
      <c r="DS114" s="190"/>
      <c r="DT114" s="190"/>
      <c r="DU114" s="190"/>
      <c r="DV114" s="190"/>
      <c r="DW114" s="190"/>
      <c r="DX114" s="190"/>
      <c r="DY114" s="190"/>
      <c r="DZ114" s="190"/>
      <c r="EA114" s="190"/>
      <c r="EB114" s="190"/>
      <c r="EC114" s="190"/>
      <c r="ED114" s="190"/>
      <c r="EE114" s="190"/>
      <c r="EF114" s="190"/>
      <c r="EG114" s="190"/>
      <c r="EH114" s="190"/>
      <c r="EI114" s="190"/>
      <c r="EJ114" s="190"/>
      <c r="EK114" s="190"/>
      <c r="EL114" s="190"/>
      <c r="EM114" s="190"/>
      <c r="EN114" s="190"/>
      <c r="EO114" s="190"/>
      <c r="EP114" s="190"/>
      <c r="EQ114" s="190"/>
      <c r="ER114" s="190"/>
      <c r="ES114" s="190"/>
      <c r="ET114" s="190"/>
      <c r="EU114" s="190"/>
      <c r="EV114" s="190"/>
      <c r="EW114" s="190"/>
      <c r="EX114" s="190"/>
      <c r="EY114" s="190"/>
      <c r="EZ114" s="190"/>
      <c r="FA114" s="190"/>
      <c r="FB114" s="190"/>
      <c r="FC114" s="190"/>
      <c r="FD114" s="190"/>
      <c r="FE114" s="190"/>
      <c r="FF114" s="190"/>
      <c r="FG114" s="190"/>
      <c r="FH114" s="190"/>
      <c r="FI114" s="190"/>
      <c r="FJ114" s="190"/>
      <c r="FK114" s="190"/>
      <c r="FL114" s="190"/>
      <c r="FM114" s="190"/>
      <c r="FN114" s="190"/>
      <c r="FO114" s="190"/>
      <c r="FP114" s="190"/>
      <c r="FQ114" s="190"/>
      <c r="FR114" s="190"/>
      <c r="FS114" s="190"/>
      <c r="FT114" s="190"/>
      <c r="FU114" s="190"/>
      <c r="FV114" s="190"/>
      <c r="FW114" s="190"/>
      <c r="FX114" s="190"/>
      <c r="FY114" s="190"/>
      <c r="FZ114" s="190"/>
      <c r="GA114" s="190"/>
      <c r="GB114" s="190"/>
      <c r="GC114" s="190"/>
      <c r="GD114" s="190"/>
      <c r="GE114" s="190"/>
      <c r="GF114" s="190"/>
      <c r="GG114" s="190"/>
      <c r="GH114" s="190"/>
      <c r="GI114" s="190"/>
      <c r="GJ114" s="190"/>
      <c r="GK114" s="190"/>
      <c r="GL114" s="190"/>
      <c r="GM114" s="190"/>
      <c r="GN114" s="190"/>
      <c r="GO114" s="190"/>
      <c r="GP114" s="190"/>
      <c r="GQ114" s="190"/>
      <c r="GR114" s="190"/>
      <c r="GS114" s="190"/>
      <c r="GT114" s="190"/>
      <c r="GU114" s="190"/>
      <c r="GV114" s="190"/>
      <c r="GW114" s="190"/>
      <c r="GX114" s="190"/>
      <c r="GY114" s="190"/>
      <c r="GZ114" s="190"/>
      <c r="HA114" s="190"/>
      <c r="HB114" s="190"/>
      <c r="HC114" s="190"/>
      <c r="HD114" s="190"/>
      <c r="HE114" s="190"/>
      <c r="HF114" s="190"/>
      <c r="HG114" s="190"/>
      <c r="HH114" s="190"/>
      <c r="HI114" s="190"/>
      <c r="HJ114" s="190"/>
      <c r="HK114" s="190"/>
      <c r="HL114" s="190"/>
      <c r="HM114" s="190"/>
      <c r="HN114" s="190"/>
      <c r="HO114" s="190"/>
      <c r="HP114" s="190"/>
      <c r="HQ114" s="190"/>
      <c r="HR114" s="190"/>
      <c r="HS114" s="190"/>
      <c r="HT114" s="190"/>
      <c r="HU114" s="190"/>
      <c r="HV114" s="190"/>
      <c r="HW114" s="190"/>
      <c r="HX114" s="190"/>
      <c r="HY114" s="190"/>
      <c r="HZ114" s="190"/>
      <c r="IA114" s="190"/>
      <c r="IB114" s="190"/>
    </row>
    <row r="115" spans="1:236" s="137" customFormat="1" ht="14.25">
      <c r="A115" s="190"/>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c r="AQ115" s="190"/>
      <c r="AR115" s="190"/>
      <c r="AS115" s="190"/>
      <c r="AT115" s="190"/>
      <c r="AU115" s="190"/>
      <c r="AV115" s="190"/>
      <c r="AW115" s="190"/>
      <c r="AX115" s="190"/>
      <c r="AY115" s="190"/>
      <c r="AZ115" s="190"/>
      <c r="BA115" s="190"/>
      <c r="BB115" s="190"/>
      <c r="BC115" s="190"/>
      <c r="BD115" s="190"/>
      <c r="BE115" s="190"/>
      <c r="BF115" s="190"/>
      <c r="BG115" s="190"/>
      <c r="BH115" s="190"/>
      <c r="BI115" s="190"/>
      <c r="BJ115" s="190"/>
      <c r="BK115" s="190"/>
      <c r="BL115" s="190"/>
      <c r="BM115" s="190"/>
      <c r="BN115" s="190"/>
      <c r="BO115" s="190"/>
      <c r="BP115" s="190"/>
      <c r="BQ115" s="190"/>
      <c r="BR115" s="190"/>
      <c r="BS115" s="190"/>
      <c r="BT115" s="190"/>
      <c r="BU115" s="190"/>
      <c r="BV115" s="190"/>
      <c r="BW115" s="190"/>
      <c r="BX115" s="190"/>
      <c r="BY115" s="190"/>
      <c r="BZ115" s="190"/>
      <c r="CA115" s="190"/>
      <c r="CB115" s="190"/>
      <c r="CC115" s="190"/>
      <c r="CD115" s="190"/>
      <c r="CE115" s="190"/>
      <c r="CF115" s="190"/>
      <c r="CG115" s="190"/>
      <c r="CH115" s="190"/>
      <c r="CI115" s="190"/>
      <c r="CJ115" s="190"/>
      <c r="CK115" s="190"/>
      <c r="CL115" s="190"/>
      <c r="CM115" s="190"/>
      <c r="CN115" s="190"/>
      <c r="CO115" s="190"/>
      <c r="CP115" s="190"/>
      <c r="CQ115" s="190"/>
      <c r="CR115" s="190"/>
      <c r="CS115" s="190"/>
      <c r="CT115" s="190"/>
      <c r="CU115" s="190"/>
      <c r="CV115" s="190"/>
      <c r="CW115" s="190"/>
      <c r="CX115" s="190"/>
      <c r="CY115" s="190"/>
      <c r="CZ115" s="190"/>
      <c r="DA115" s="190"/>
      <c r="DB115" s="190"/>
      <c r="DC115" s="190"/>
      <c r="DD115" s="190"/>
      <c r="DE115" s="190"/>
      <c r="DF115" s="190"/>
      <c r="DG115" s="190"/>
      <c r="DH115" s="190"/>
      <c r="DI115" s="190"/>
      <c r="DJ115" s="190"/>
      <c r="DK115" s="190"/>
      <c r="DL115" s="190"/>
      <c r="DM115" s="190"/>
      <c r="DN115" s="190"/>
      <c r="DO115" s="190"/>
      <c r="DP115" s="190"/>
      <c r="DQ115" s="190"/>
      <c r="DR115" s="190"/>
      <c r="DS115" s="190"/>
      <c r="DT115" s="190"/>
      <c r="DU115" s="190"/>
      <c r="DV115" s="190"/>
      <c r="DW115" s="190"/>
      <c r="DX115" s="190"/>
      <c r="DY115" s="190"/>
      <c r="DZ115" s="190"/>
      <c r="EA115" s="190"/>
      <c r="EB115" s="190"/>
      <c r="EC115" s="190"/>
      <c r="ED115" s="190"/>
      <c r="EE115" s="190"/>
      <c r="EF115" s="190"/>
      <c r="EG115" s="190"/>
      <c r="EH115" s="190"/>
      <c r="EI115" s="190"/>
      <c r="EJ115" s="190"/>
      <c r="EK115" s="190"/>
      <c r="EL115" s="190"/>
      <c r="EM115" s="190"/>
      <c r="EN115" s="190"/>
      <c r="EO115" s="190"/>
      <c r="EP115" s="190"/>
      <c r="EQ115" s="190"/>
      <c r="ER115" s="190"/>
      <c r="ES115" s="190"/>
      <c r="ET115" s="190"/>
      <c r="EU115" s="190"/>
      <c r="EV115" s="190"/>
      <c r="EW115" s="190"/>
      <c r="EX115" s="190"/>
      <c r="EY115" s="190"/>
      <c r="EZ115" s="190"/>
      <c r="FA115" s="190"/>
      <c r="FB115" s="190"/>
      <c r="FC115" s="190"/>
      <c r="FD115" s="190"/>
      <c r="FE115" s="190"/>
      <c r="FF115" s="190"/>
      <c r="FG115" s="190"/>
      <c r="FH115" s="190"/>
      <c r="FI115" s="190"/>
      <c r="FJ115" s="190"/>
      <c r="FK115" s="190"/>
      <c r="FL115" s="190"/>
      <c r="FM115" s="190"/>
      <c r="FN115" s="190"/>
      <c r="FO115" s="190"/>
      <c r="FP115" s="190"/>
      <c r="FQ115" s="190"/>
      <c r="FR115" s="190"/>
      <c r="FS115" s="190"/>
      <c r="FT115" s="190"/>
      <c r="FU115" s="190"/>
      <c r="FV115" s="190"/>
      <c r="FW115" s="190"/>
      <c r="FX115" s="190"/>
      <c r="FY115" s="190"/>
      <c r="FZ115" s="190"/>
      <c r="GA115" s="190"/>
      <c r="GB115" s="190"/>
      <c r="GC115" s="190"/>
      <c r="GD115" s="190"/>
      <c r="GE115" s="190"/>
      <c r="GF115" s="190"/>
      <c r="GG115" s="190"/>
      <c r="GH115" s="190"/>
      <c r="GI115" s="190"/>
      <c r="GJ115" s="190"/>
      <c r="GK115" s="190"/>
      <c r="GL115" s="190"/>
      <c r="GM115" s="190"/>
      <c r="GN115" s="190"/>
      <c r="GO115" s="190"/>
      <c r="GP115" s="190"/>
      <c r="GQ115" s="190"/>
      <c r="GR115" s="190"/>
      <c r="GS115" s="190"/>
      <c r="GT115" s="190"/>
      <c r="GU115" s="190"/>
      <c r="GV115" s="190"/>
      <c r="GW115" s="190"/>
      <c r="GX115" s="190"/>
      <c r="GY115" s="190"/>
      <c r="GZ115" s="190"/>
      <c r="HA115" s="190"/>
      <c r="HB115" s="190"/>
      <c r="HC115" s="190"/>
      <c r="HD115" s="190"/>
      <c r="HE115" s="190"/>
      <c r="HF115" s="190"/>
      <c r="HG115" s="190"/>
      <c r="HH115" s="190"/>
      <c r="HI115" s="190"/>
      <c r="HJ115" s="190"/>
      <c r="HK115" s="190"/>
      <c r="HL115" s="190"/>
      <c r="HM115" s="190"/>
      <c r="HN115" s="190"/>
      <c r="HO115" s="190"/>
      <c r="HP115" s="190"/>
      <c r="HQ115" s="190"/>
      <c r="HR115" s="190"/>
      <c r="HS115" s="190"/>
      <c r="HT115" s="190"/>
      <c r="HU115" s="190"/>
      <c r="HV115" s="190"/>
      <c r="HW115" s="190"/>
      <c r="HX115" s="190"/>
      <c r="HY115" s="190"/>
      <c r="HZ115" s="190"/>
      <c r="IA115" s="190"/>
      <c r="IB115" s="190"/>
    </row>
    <row r="116" spans="1:236" s="137" customFormat="1" ht="14.25">
      <c r="A116" s="190"/>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0"/>
      <c r="AZ116" s="190"/>
      <c r="BA116" s="190"/>
      <c r="BB116" s="190"/>
      <c r="BC116" s="190"/>
      <c r="BD116" s="190"/>
      <c r="BE116" s="190"/>
      <c r="BF116" s="190"/>
      <c r="BG116" s="190"/>
      <c r="BH116" s="190"/>
      <c r="BI116" s="190"/>
      <c r="BJ116" s="190"/>
      <c r="BK116" s="190"/>
      <c r="BL116" s="190"/>
      <c r="BM116" s="190"/>
      <c r="BN116" s="190"/>
      <c r="BO116" s="190"/>
      <c r="BP116" s="190"/>
      <c r="BQ116" s="190"/>
      <c r="BR116" s="190"/>
      <c r="BS116" s="190"/>
      <c r="BT116" s="190"/>
      <c r="BU116" s="190"/>
      <c r="BV116" s="190"/>
      <c r="BW116" s="190"/>
      <c r="BX116" s="190"/>
      <c r="BY116" s="190"/>
      <c r="BZ116" s="190"/>
      <c r="CA116" s="190"/>
      <c r="CB116" s="190"/>
      <c r="CC116" s="190"/>
      <c r="CD116" s="190"/>
      <c r="CE116" s="190"/>
      <c r="CF116" s="190"/>
      <c r="CG116" s="190"/>
      <c r="CH116" s="190"/>
      <c r="CI116" s="190"/>
      <c r="CJ116" s="190"/>
      <c r="CK116" s="190"/>
      <c r="CL116" s="190"/>
      <c r="CM116" s="190"/>
      <c r="CN116" s="190"/>
      <c r="CO116" s="190"/>
      <c r="CP116" s="190"/>
      <c r="CQ116" s="190"/>
      <c r="CR116" s="190"/>
      <c r="CS116" s="190"/>
      <c r="CT116" s="190"/>
      <c r="CU116" s="190"/>
      <c r="CV116" s="190"/>
      <c r="CW116" s="190"/>
      <c r="CX116" s="190"/>
      <c r="CY116" s="190"/>
      <c r="CZ116" s="190"/>
      <c r="DA116" s="190"/>
      <c r="DB116" s="190"/>
      <c r="DC116" s="190"/>
      <c r="DD116" s="190"/>
      <c r="DE116" s="190"/>
      <c r="DF116" s="190"/>
      <c r="DG116" s="190"/>
      <c r="DH116" s="190"/>
      <c r="DI116" s="190"/>
      <c r="DJ116" s="190"/>
      <c r="DK116" s="190"/>
      <c r="DL116" s="190"/>
      <c r="DM116" s="190"/>
      <c r="DN116" s="190"/>
      <c r="DO116" s="190"/>
      <c r="DP116" s="190"/>
      <c r="DQ116" s="190"/>
      <c r="DR116" s="190"/>
      <c r="DS116" s="190"/>
      <c r="DT116" s="190"/>
      <c r="DU116" s="190"/>
      <c r="DV116" s="190"/>
      <c r="DW116" s="190"/>
      <c r="DX116" s="190"/>
      <c r="DY116" s="190"/>
      <c r="DZ116" s="190"/>
      <c r="EA116" s="190"/>
      <c r="EB116" s="190"/>
      <c r="EC116" s="190"/>
      <c r="ED116" s="190"/>
      <c r="EE116" s="190"/>
      <c r="EF116" s="190"/>
      <c r="EG116" s="190"/>
      <c r="EH116" s="190"/>
      <c r="EI116" s="190"/>
      <c r="EJ116" s="190"/>
      <c r="EK116" s="190"/>
      <c r="EL116" s="190"/>
      <c r="EM116" s="190"/>
      <c r="EN116" s="190"/>
      <c r="EO116" s="190"/>
      <c r="EP116" s="190"/>
      <c r="EQ116" s="190"/>
      <c r="ER116" s="190"/>
      <c r="ES116" s="190"/>
      <c r="ET116" s="190"/>
      <c r="EU116" s="190"/>
      <c r="EV116" s="190"/>
      <c r="EW116" s="190"/>
      <c r="EX116" s="190"/>
      <c r="EY116" s="190"/>
      <c r="EZ116" s="190"/>
      <c r="FA116" s="190"/>
      <c r="FB116" s="190"/>
      <c r="FC116" s="190"/>
      <c r="FD116" s="190"/>
      <c r="FE116" s="190"/>
      <c r="FF116" s="190"/>
      <c r="FG116" s="190"/>
      <c r="FH116" s="190"/>
      <c r="FI116" s="190"/>
      <c r="FJ116" s="190"/>
      <c r="FK116" s="190"/>
      <c r="FL116" s="190"/>
      <c r="FM116" s="190"/>
      <c r="FN116" s="190"/>
      <c r="FO116" s="190"/>
      <c r="FP116" s="190"/>
      <c r="FQ116" s="190"/>
      <c r="FR116" s="190"/>
      <c r="FS116" s="190"/>
      <c r="FT116" s="190"/>
      <c r="FU116" s="190"/>
      <c r="FV116" s="190"/>
      <c r="FW116" s="190"/>
      <c r="FX116" s="190"/>
      <c r="FY116" s="190"/>
      <c r="FZ116" s="190"/>
      <c r="GA116" s="190"/>
      <c r="GB116" s="190"/>
      <c r="GC116" s="190"/>
      <c r="GD116" s="190"/>
      <c r="GE116" s="190"/>
      <c r="GF116" s="190"/>
      <c r="GG116" s="190"/>
      <c r="GH116" s="190"/>
      <c r="GI116" s="190"/>
      <c r="GJ116" s="190"/>
      <c r="GK116" s="190"/>
      <c r="GL116" s="190"/>
      <c r="GM116" s="190"/>
      <c r="GN116" s="190"/>
      <c r="GO116" s="190"/>
      <c r="GP116" s="190"/>
      <c r="GQ116" s="190"/>
      <c r="GR116" s="190"/>
      <c r="GS116" s="190"/>
      <c r="GT116" s="190"/>
      <c r="GU116" s="190"/>
      <c r="GV116" s="190"/>
      <c r="GW116" s="190"/>
      <c r="GX116" s="190"/>
      <c r="GY116" s="190"/>
      <c r="GZ116" s="190"/>
      <c r="HA116" s="190"/>
      <c r="HB116" s="190"/>
      <c r="HC116" s="190"/>
      <c r="HD116" s="190"/>
      <c r="HE116" s="190"/>
      <c r="HF116" s="190"/>
      <c r="HG116" s="190"/>
      <c r="HH116" s="190"/>
      <c r="HI116" s="190"/>
      <c r="HJ116" s="190"/>
      <c r="HK116" s="190"/>
      <c r="HL116" s="190"/>
      <c r="HM116" s="190"/>
      <c r="HN116" s="190"/>
      <c r="HO116" s="190"/>
      <c r="HP116" s="190"/>
      <c r="HQ116" s="190"/>
      <c r="HR116" s="190"/>
      <c r="HS116" s="190"/>
      <c r="HT116" s="190"/>
      <c r="HU116" s="190"/>
      <c r="HV116" s="190"/>
      <c r="HW116" s="190"/>
      <c r="HX116" s="190"/>
      <c r="HY116" s="190"/>
      <c r="HZ116" s="190"/>
      <c r="IA116" s="190"/>
      <c r="IB116" s="190"/>
    </row>
    <row r="117" spans="1:236" s="137" customFormat="1" ht="14.25">
      <c r="A117" s="190"/>
      <c r="B117" s="190"/>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90"/>
      <c r="AP117" s="190"/>
      <c r="AQ117" s="190"/>
      <c r="AR117" s="190"/>
      <c r="AS117" s="190"/>
      <c r="AT117" s="190"/>
      <c r="AU117" s="190"/>
      <c r="AV117" s="190"/>
      <c r="AW117" s="190"/>
      <c r="AX117" s="190"/>
      <c r="AY117" s="190"/>
      <c r="AZ117" s="190"/>
      <c r="BA117" s="190"/>
      <c r="BB117" s="190"/>
      <c r="BC117" s="190"/>
      <c r="BD117" s="190"/>
      <c r="BE117" s="190"/>
      <c r="BF117" s="190"/>
      <c r="BG117" s="190"/>
      <c r="BH117" s="190"/>
      <c r="BI117" s="190"/>
      <c r="BJ117" s="190"/>
      <c r="BK117" s="190"/>
      <c r="BL117" s="190"/>
      <c r="BM117" s="190"/>
      <c r="BN117" s="190"/>
      <c r="BO117" s="190"/>
      <c r="BP117" s="190"/>
      <c r="BQ117" s="190"/>
      <c r="BR117" s="190"/>
      <c r="BS117" s="190"/>
      <c r="BT117" s="190"/>
      <c r="BU117" s="190"/>
      <c r="BV117" s="190"/>
      <c r="BW117" s="190"/>
      <c r="BX117" s="190"/>
      <c r="BY117" s="190"/>
      <c r="BZ117" s="190"/>
      <c r="CA117" s="190"/>
      <c r="CB117" s="190"/>
      <c r="CC117" s="190"/>
      <c r="CD117" s="190"/>
      <c r="CE117" s="190"/>
      <c r="CF117" s="190"/>
      <c r="CG117" s="190"/>
      <c r="CH117" s="190"/>
      <c r="CI117" s="190"/>
      <c r="CJ117" s="190"/>
      <c r="CK117" s="190"/>
      <c r="CL117" s="190"/>
      <c r="CM117" s="190"/>
      <c r="CN117" s="190"/>
      <c r="CO117" s="190"/>
      <c r="CP117" s="190"/>
      <c r="CQ117" s="190"/>
      <c r="CR117" s="190"/>
      <c r="CS117" s="190"/>
      <c r="CT117" s="190"/>
      <c r="CU117" s="190"/>
      <c r="CV117" s="190"/>
      <c r="CW117" s="190"/>
      <c r="CX117" s="190"/>
      <c r="CY117" s="190"/>
      <c r="CZ117" s="190"/>
      <c r="DA117" s="190"/>
      <c r="DB117" s="190"/>
      <c r="DC117" s="190"/>
      <c r="DD117" s="190"/>
      <c r="DE117" s="190"/>
      <c r="DF117" s="190"/>
      <c r="DG117" s="190"/>
      <c r="DH117" s="190"/>
      <c r="DI117" s="190"/>
      <c r="DJ117" s="190"/>
      <c r="DK117" s="190"/>
      <c r="DL117" s="190"/>
      <c r="DM117" s="190"/>
      <c r="DN117" s="190"/>
      <c r="DO117" s="190"/>
      <c r="DP117" s="190"/>
      <c r="DQ117" s="190"/>
      <c r="DR117" s="190"/>
      <c r="DS117" s="190"/>
      <c r="DT117" s="190"/>
      <c r="DU117" s="190"/>
      <c r="DV117" s="190"/>
      <c r="DW117" s="190"/>
      <c r="DX117" s="190"/>
      <c r="DY117" s="190"/>
      <c r="DZ117" s="190"/>
      <c r="EA117" s="190"/>
      <c r="EB117" s="190"/>
      <c r="EC117" s="190"/>
      <c r="ED117" s="190"/>
      <c r="EE117" s="190"/>
      <c r="EF117" s="190"/>
      <c r="EG117" s="190"/>
      <c r="EH117" s="190"/>
      <c r="EI117" s="190"/>
      <c r="EJ117" s="190"/>
      <c r="EK117" s="190"/>
      <c r="EL117" s="190"/>
      <c r="EM117" s="190"/>
      <c r="EN117" s="190"/>
      <c r="EO117" s="190"/>
      <c r="EP117" s="190"/>
      <c r="EQ117" s="190"/>
      <c r="ER117" s="190"/>
      <c r="ES117" s="190"/>
      <c r="ET117" s="190"/>
      <c r="EU117" s="190"/>
      <c r="EV117" s="190"/>
      <c r="EW117" s="190"/>
      <c r="EX117" s="190"/>
      <c r="EY117" s="190"/>
      <c r="EZ117" s="190"/>
      <c r="FA117" s="190"/>
      <c r="FB117" s="190"/>
      <c r="FC117" s="190"/>
      <c r="FD117" s="190"/>
      <c r="FE117" s="190"/>
      <c r="FF117" s="190"/>
      <c r="FG117" s="190"/>
      <c r="FH117" s="190"/>
      <c r="FI117" s="190"/>
      <c r="FJ117" s="190"/>
      <c r="FK117" s="190"/>
      <c r="FL117" s="190"/>
      <c r="FM117" s="190"/>
      <c r="FN117" s="190"/>
      <c r="FO117" s="190"/>
      <c r="FP117" s="190"/>
      <c r="FQ117" s="190"/>
      <c r="FR117" s="190"/>
      <c r="FS117" s="190"/>
      <c r="FT117" s="190"/>
      <c r="FU117" s="190"/>
      <c r="FV117" s="190"/>
      <c r="FW117" s="190"/>
      <c r="FX117" s="190"/>
      <c r="FY117" s="190"/>
      <c r="FZ117" s="190"/>
      <c r="GA117" s="190"/>
      <c r="GB117" s="190"/>
      <c r="GC117" s="190"/>
      <c r="GD117" s="190"/>
      <c r="GE117" s="190"/>
      <c r="GF117" s="190"/>
      <c r="GG117" s="190"/>
      <c r="GH117" s="190"/>
      <c r="GI117" s="190"/>
      <c r="GJ117" s="190"/>
      <c r="GK117" s="190"/>
      <c r="GL117" s="190"/>
      <c r="GM117" s="190"/>
      <c r="GN117" s="190"/>
      <c r="GO117" s="190"/>
      <c r="GP117" s="190"/>
      <c r="GQ117" s="190"/>
      <c r="GR117" s="190"/>
      <c r="GS117" s="190"/>
      <c r="GT117" s="190"/>
      <c r="GU117" s="190"/>
      <c r="GV117" s="190"/>
      <c r="GW117" s="190"/>
      <c r="GX117" s="190"/>
      <c r="GY117" s="190"/>
      <c r="GZ117" s="190"/>
      <c r="HA117" s="190"/>
      <c r="HB117" s="190"/>
      <c r="HC117" s="190"/>
      <c r="HD117" s="190"/>
      <c r="HE117" s="190"/>
      <c r="HF117" s="190"/>
      <c r="HG117" s="190"/>
      <c r="HH117" s="190"/>
      <c r="HI117" s="190"/>
      <c r="HJ117" s="190"/>
      <c r="HK117" s="190"/>
      <c r="HL117" s="190"/>
      <c r="HM117" s="190"/>
      <c r="HN117" s="190"/>
      <c r="HO117" s="190"/>
      <c r="HP117" s="190"/>
      <c r="HQ117" s="190"/>
      <c r="HR117" s="190"/>
      <c r="HS117" s="190"/>
      <c r="HT117" s="190"/>
      <c r="HU117" s="190"/>
      <c r="HV117" s="190"/>
      <c r="HW117" s="190"/>
      <c r="HX117" s="190"/>
      <c r="HY117" s="190"/>
      <c r="HZ117" s="190"/>
      <c r="IA117" s="190"/>
      <c r="IB117" s="190"/>
    </row>
    <row r="118" spans="1:236" s="137" customFormat="1" ht="14.25">
      <c r="A118" s="190"/>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c r="BC118" s="190"/>
      <c r="BD118" s="190"/>
      <c r="BE118" s="190"/>
      <c r="BF118" s="190"/>
      <c r="BG118" s="190"/>
      <c r="BH118" s="190"/>
      <c r="BI118" s="190"/>
      <c r="BJ118" s="190"/>
      <c r="BK118" s="190"/>
      <c r="BL118" s="190"/>
      <c r="BM118" s="190"/>
      <c r="BN118" s="190"/>
      <c r="BO118" s="190"/>
      <c r="BP118" s="190"/>
      <c r="BQ118" s="190"/>
      <c r="BR118" s="190"/>
      <c r="BS118" s="190"/>
      <c r="BT118" s="190"/>
      <c r="BU118" s="190"/>
      <c r="BV118" s="190"/>
      <c r="BW118" s="190"/>
      <c r="BX118" s="190"/>
      <c r="BY118" s="190"/>
      <c r="BZ118" s="190"/>
      <c r="CA118" s="190"/>
      <c r="CB118" s="190"/>
      <c r="CC118" s="190"/>
      <c r="CD118" s="190"/>
      <c r="CE118" s="190"/>
      <c r="CF118" s="190"/>
      <c r="CG118" s="190"/>
      <c r="CH118" s="190"/>
      <c r="CI118" s="190"/>
      <c r="CJ118" s="190"/>
      <c r="CK118" s="190"/>
      <c r="CL118" s="190"/>
      <c r="CM118" s="190"/>
      <c r="CN118" s="190"/>
      <c r="CO118" s="190"/>
      <c r="CP118" s="190"/>
      <c r="CQ118" s="190"/>
      <c r="CR118" s="190"/>
      <c r="CS118" s="190"/>
      <c r="CT118" s="190"/>
      <c r="CU118" s="190"/>
      <c r="CV118" s="190"/>
      <c r="CW118" s="190"/>
      <c r="CX118" s="190"/>
      <c r="CY118" s="190"/>
      <c r="CZ118" s="190"/>
      <c r="DA118" s="190"/>
      <c r="DB118" s="190"/>
      <c r="DC118" s="190"/>
      <c r="DD118" s="190"/>
      <c r="DE118" s="190"/>
      <c r="DF118" s="190"/>
      <c r="DG118" s="190"/>
      <c r="DH118" s="190"/>
      <c r="DI118" s="190"/>
      <c r="DJ118" s="190"/>
      <c r="DK118" s="190"/>
      <c r="DL118" s="190"/>
      <c r="DM118" s="190"/>
      <c r="DN118" s="190"/>
      <c r="DO118" s="190"/>
      <c r="DP118" s="190"/>
      <c r="DQ118" s="190"/>
      <c r="DR118" s="190"/>
      <c r="DS118" s="190"/>
      <c r="DT118" s="190"/>
      <c r="DU118" s="190"/>
      <c r="DV118" s="190"/>
      <c r="DW118" s="190"/>
      <c r="DX118" s="190"/>
      <c r="DY118" s="190"/>
      <c r="DZ118" s="190"/>
      <c r="EA118" s="190"/>
      <c r="EB118" s="190"/>
      <c r="EC118" s="190"/>
      <c r="ED118" s="190"/>
      <c r="EE118" s="190"/>
      <c r="EF118" s="190"/>
      <c r="EG118" s="190"/>
      <c r="EH118" s="190"/>
      <c r="EI118" s="190"/>
      <c r="EJ118" s="190"/>
      <c r="EK118" s="190"/>
      <c r="EL118" s="190"/>
      <c r="EM118" s="190"/>
      <c r="EN118" s="190"/>
      <c r="EO118" s="190"/>
      <c r="EP118" s="190"/>
      <c r="EQ118" s="190"/>
      <c r="ER118" s="190"/>
      <c r="ES118" s="190"/>
      <c r="ET118" s="190"/>
      <c r="EU118" s="190"/>
      <c r="EV118" s="190"/>
      <c r="EW118" s="190"/>
      <c r="EX118" s="190"/>
      <c r="EY118" s="190"/>
      <c r="EZ118" s="190"/>
      <c r="FA118" s="190"/>
      <c r="FB118" s="190"/>
      <c r="FC118" s="190"/>
      <c r="FD118" s="190"/>
      <c r="FE118" s="190"/>
      <c r="FF118" s="190"/>
      <c r="FG118" s="190"/>
      <c r="FH118" s="190"/>
      <c r="FI118" s="190"/>
      <c r="FJ118" s="190"/>
      <c r="FK118" s="190"/>
      <c r="FL118" s="190"/>
      <c r="FM118" s="190"/>
      <c r="FN118" s="190"/>
      <c r="FO118" s="190"/>
      <c r="FP118" s="190"/>
      <c r="FQ118" s="190"/>
      <c r="FR118" s="190"/>
      <c r="FS118" s="190"/>
      <c r="FT118" s="190"/>
      <c r="FU118" s="190"/>
      <c r="FV118" s="190"/>
      <c r="FW118" s="190"/>
      <c r="FX118" s="190"/>
      <c r="FY118" s="190"/>
      <c r="FZ118" s="190"/>
      <c r="GA118" s="190"/>
      <c r="GB118" s="190"/>
      <c r="GC118" s="190"/>
      <c r="GD118" s="190"/>
      <c r="GE118" s="190"/>
      <c r="GF118" s="190"/>
      <c r="GG118" s="190"/>
      <c r="GH118" s="190"/>
      <c r="GI118" s="190"/>
      <c r="GJ118" s="190"/>
      <c r="GK118" s="190"/>
      <c r="GL118" s="190"/>
      <c r="GM118" s="190"/>
      <c r="GN118" s="190"/>
      <c r="GO118" s="190"/>
      <c r="GP118" s="190"/>
      <c r="GQ118" s="190"/>
      <c r="GR118" s="190"/>
      <c r="GS118" s="190"/>
      <c r="GT118" s="190"/>
      <c r="GU118" s="190"/>
      <c r="GV118" s="190"/>
      <c r="GW118" s="190"/>
      <c r="GX118" s="190"/>
      <c r="GY118" s="190"/>
      <c r="GZ118" s="190"/>
      <c r="HA118" s="190"/>
      <c r="HB118" s="190"/>
      <c r="HC118" s="190"/>
      <c r="HD118" s="190"/>
      <c r="HE118" s="190"/>
      <c r="HF118" s="190"/>
      <c r="HG118" s="190"/>
      <c r="HH118" s="190"/>
      <c r="HI118" s="190"/>
      <c r="HJ118" s="190"/>
      <c r="HK118" s="190"/>
      <c r="HL118" s="190"/>
      <c r="HM118" s="190"/>
      <c r="HN118" s="190"/>
      <c r="HO118" s="190"/>
      <c r="HP118" s="190"/>
      <c r="HQ118" s="190"/>
      <c r="HR118" s="190"/>
      <c r="HS118" s="190"/>
      <c r="HT118" s="190"/>
      <c r="HU118" s="190"/>
      <c r="HV118" s="190"/>
      <c r="HW118" s="190"/>
      <c r="HX118" s="190"/>
      <c r="HY118" s="190"/>
      <c r="HZ118" s="190"/>
      <c r="IA118" s="190"/>
      <c r="IB118" s="190"/>
    </row>
    <row r="119" spans="1:236" s="137" customFormat="1" ht="14.25">
      <c r="A119" s="190"/>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0"/>
      <c r="BK119" s="190"/>
      <c r="BL119" s="190"/>
      <c r="BM119" s="190"/>
      <c r="BN119" s="190"/>
      <c r="BO119" s="190"/>
      <c r="BP119" s="190"/>
      <c r="BQ119" s="190"/>
      <c r="BR119" s="190"/>
      <c r="BS119" s="190"/>
      <c r="BT119" s="190"/>
      <c r="BU119" s="190"/>
      <c r="BV119" s="190"/>
      <c r="BW119" s="190"/>
      <c r="BX119" s="190"/>
      <c r="BY119" s="190"/>
      <c r="BZ119" s="190"/>
      <c r="CA119" s="190"/>
      <c r="CB119" s="190"/>
      <c r="CC119" s="190"/>
      <c r="CD119" s="190"/>
      <c r="CE119" s="190"/>
      <c r="CF119" s="190"/>
      <c r="CG119" s="190"/>
      <c r="CH119" s="190"/>
      <c r="CI119" s="190"/>
      <c r="CJ119" s="190"/>
      <c r="CK119" s="190"/>
      <c r="CL119" s="190"/>
      <c r="CM119" s="190"/>
      <c r="CN119" s="190"/>
      <c r="CO119" s="190"/>
      <c r="CP119" s="190"/>
      <c r="CQ119" s="190"/>
      <c r="CR119" s="190"/>
      <c r="CS119" s="190"/>
      <c r="CT119" s="190"/>
      <c r="CU119" s="190"/>
      <c r="CV119" s="190"/>
      <c r="CW119" s="190"/>
      <c r="CX119" s="190"/>
      <c r="CY119" s="190"/>
      <c r="CZ119" s="190"/>
      <c r="DA119" s="190"/>
      <c r="DB119" s="190"/>
      <c r="DC119" s="190"/>
      <c r="DD119" s="190"/>
      <c r="DE119" s="190"/>
      <c r="DF119" s="190"/>
      <c r="DG119" s="190"/>
      <c r="DH119" s="190"/>
      <c r="DI119" s="190"/>
      <c r="DJ119" s="190"/>
      <c r="DK119" s="190"/>
      <c r="DL119" s="190"/>
      <c r="DM119" s="190"/>
      <c r="DN119" s="190"/>
      <c r="DO119" s="190"/>
      <c r="DP119" s="190"/>
      <c r="DQ119" s="190"/>
      <c r="DR119" s="190"/>
      <c r="DS119" s="190"/>
      <c r="DT119" s="190"/>
      <c r="DU119" s="190"/>
      <c r="DV119" s="190"/>
      <c r="DW119" s="190"/>
      <c r="DX119" s="190"/>
      <c r="DY119" s="190"/>
      <c r="DZ119" s="190"/>
      <c r="EA119" s="190"/>
      <c r="EB119" s="190"/>
      <c r="EC119" s="190"/>
      <c r="ED119" s="190"/>
      <c r="EE119" s="190"/>
      <c r="EF119" s="190"/>
      <c r="EG119" s="190"/>
      <c r="EH119" s="190"/>
      <c r="EI119" s="190"/>
      <c r="EJ119" s="190"/>
      <c r="EK119" s="190"/>
      <c r="EL119" s="190"/>
      <c r="EM119" s="190"/>
      <c r="EN119" s="190"/>
      <c r="EO119" s="190"/>
      <c r="EP119" s="190"/>
      <c r="EQ119" s="190"/>
      <c r="ER119" s="190"/>
      <c r="ES119" s="190"/>
      <c r="ET119" s="190"/>
      <c r="EU119" s="190"/>
      <c r="EV119" s="190"/>
      <c r="EW119" s="190"/>
      <c r="EX119" s="190"/>
      <c r="EY119" s="190"/>
      <c r="EZ119" s="190"/>
      <c r="FA119" s="190"/>
      <c r="FB119" s="190"/>
      <c r="FC119" s="190"/>
      <c r="FD119" s="190"/>
      <c r="FE119" s="190"/>
      <c r="FF119" s="190"/>
      <c r="FG119" s="190"/>
      <c r="FH119" s="190"/>
      <c r="FI119" s="190"/>
      <c r="FJ119" s="190"/>
      <c r="FK119" s="190"/>
      <c r="FL119" s="190"/>
      <c r="FM119" s="190"/>
      <c r="FN119" s="190"/>
      <c r="FO119" s="190"/>
      <c r="FP119" s="190"/>
      <c r="FQ119" s="190"/>
      <c r="FR119" s="190"/>
      <c r="FS119" s="190"/>
      <c r="FT119" s="190"/>
      <c r="FU119" s="190"/>
      <c r="FV119" s="190"/>
      <c r="FW119" s="190"/>
      <c r="FX119" s="190"/>
      <c r="FY119" s="190"/>
      <c r="FZ119" s="190"/>
      <c r="GA119" s="190"/>
      <c r="GB119" s="190"/>
      <c r="GC119" s="190"/>
      <c r="GD119" s="190"/>
      <c r="GE119" s="190"/>
      <c r="GF119" s="190"/>
      <c r="GG119" s="190"/>
      <c r="GH119" s="190"/>
      <c r="GI119" s="190"/>
      <c r="GJ119" s="190"/>
      <c r="GK119" s="190"/>
      <c r="GL119" s="190"/>
      <c r="GM119" s="190"/>
      <c r="GN119" s="190"/>
      <c r="GO119" s="190"/>
      <c r="GP119" s="190"/>
      <c r="GQ119" s="190"/>
      <c r="GR119" s="190"/>
      <c r="GS119" s="190"/>
      <c r="GT119" s="190"/>
      <c r="GU119" s="190"/>
      <c r="GV119" s="190"/>
      <c r="GW119" s="190"/>
      <c r="GX119" s="190"/>
      <c r="GY119" s="190"/>
      <c r="GZ119" s="190"/>
      <c r="HA119" s="190"/>
      <c r="HB119" s="190"/>
      <c r="HC119" s="190"/>
      <c r="HD119" s="190"/>
      <c r="HE119" s="190"/>
      <c r="HF119" s="190"/>
      <c r="HG119" s="190"/>
      <c r="HH119" s="190"/>
      <c r="HI119" s="190"/>
      <c r="HJ119" s="190"/>
      <c r="HK119" s="190"/>
      <c r="HL119" s="190"/>
      <c r="HM119" s="190"/>
      <c r="HN119" s="190"/>
      <c r="HO119" s="190"/>
      <c r="HP119" s="190"/>
      <c r="HQ119" s="190"/>
      <c r="HR119" s="190"/>
      <c r="HS119" s="190"/>
      <c r="HT119" s="190"/>
      <c r="HU119" s="190"/>
      <c r="HV119" s="190"/>
      <c r="HW119" s="190"/>
      <c r="HX119" s="190"/>
      <c r="HY119" s="190"/>
      <c r="HZ119" s="190"/>
      <c r="IA119" s="190"/>
      <c r="IB119" s="190"/>
    </row>
    <row r="120" spans="1:236" s="137" customFormat="1" ht="14.25">
      <c r="A120" s="190"/>
      <c r="B120" s="190"/>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c r="BC120" s="190"/>
      <c r="BD120" s="190"/>
      <c r="BE120" s="190"/>
      <c r="BF120" s="190"/>
      <c r="BG120" s="190"/>
      <c r="BH120" s="190"/>
      <c r="BI120" s="190"/>
      <c r="BJ120" s="190"/>
      <c r="BK120" s="190"/>
      <c r="BL120" s="190"/>
      <c r="BM120" s="190"/>
      <c r="BN120" s="190"/>
      <c r="BO120" s="190"/>
      <c r="BP120" s="190"/>
      <c r="BQ120" s="190"/>
      <c r="BR120" s="190"/>
      <c r="BS120" s="190"/>
      <c r="BT120" s="190"/>
      <c r="BU120" s="190"/>
      <c r="BV120" s="190"/>
      <c r="BW120" s="190"/>
      <c r="BX120" s="190"/>
      <c r="BY120" s="190"/>
      <c r="BZ120" s="190"/>
      <c r="CA120" s="190"/>
      <c r="CB120" s="190"/>
      <c r="CC120" s="190"/>
      <c r="CD120" s="190"/>
      <c r="CE120" s="190"/>
      <c r="CF120" s="190"/>
      <c r="CG120" s="190"/>
      <c r="CH120" s="190"/>
      <c r="CI120" s="190"/>
      <c r="CJ120" s="190"/>
      <c r="CK120" s="190"/>
      <c r="CL120" s="190"/>
      <c r="CM120" s="190"/>
      <c r="CN120" s="190"/>
      <c r="CO120" s="190"/>
      <c r="CP120" s="190"/>
      <c r="CQ120" s="190"/>
      <c r="CR120" s="190"/>
      <c r="CS120" s="190"/>
      <c r="CT120" s="190"/>
      <c r="CU120" s="190"/>
      <c r="CV120" s="190"/>
      <c r="CW120" s="190"/>
      <c r="CX120" s="190"/>
      <c r="CY120" s="190"/>
      <c r="CZ120" s="190"/>
      <c r="DA120" s="190"/>
      <c r="DB120" s="190"/>
      <c r="DC120" s="190"/>
      <c r="DD120" s="190"/>
      <c r="DE120" s="190"/>
      <c r="DF120" s="190"/>
      <c r="DG120" s="190"/>
      <c r="DH120" s="190"/>
      <c r="DI120" s="190"/>
      <c r="DJ120" s="190"/>
      <c r="DK120" s="190"/>
      <c r="DL120" s="190"/>
      <c r="DM120" s="190"/>
      <c r="DN120" s="190"/>
      <c r="DO120" s="190"/>
      <c r="DP120" s="190"/>
      <c r="DQ120" s="190"/>
      <c r="DR120" s="190"/>
      <c r="DS120" s="190"/>
      <c r="DT120" s="190"/>
      <c r="DU120" s="190"/>
      <c r="DV120" s="190"/>
      <c r="DW120" s="190"/>
      <c r="DX120" s="190"/>
      <c r="DY120" s="190"/>
      <c r="DZ120" s="190"/>
      <c r="EA120" s="190"/>
      <c r="EB120" s="190"/>
      <c r="EC120" s="190"/>
      <c r="ED120" s="190"/>
      <c r="EE120" s="190"/>
      <c r="EF120" s="190"/>
      <c r="EG120" s="190"/>
      <c r="EH120" s="190"/>
      <c r="EI120" s="190"/>
      <c r="EJ120" s="190"/>
      <c r="EK120" s="190"/>
      <c r="EL120" s="190"/>
      <c r="EM120" s="190"/>
      <c r="EN120" s="190"/>
      <c r="EO120" s="190"/>
      <c r="EP120" s="190"/>
      <c r="EQ120" s="190"/>
      <c r="ER120" s="190"/>
      <c r="ES120" s="190"/>
      <c r="ET120" s="190"/>
      <c r="EU120" s="190"/>
      <c r="EV120" s="190"/>
      <c r="EW120" s="190"/>
      <c r="EX120" s="190"/>
      <c r="EY120" s="190"/>
      <c r="EZ120" s="190"/>
      <c r="FA120" s="190"/>
      <c r="FB120" s="190"/>
      <c r="FC120" s="190"/>
      <c r="FD120" s="190"/>
      <c r="FE120" s="190"/>
      <c r="FF120" s="190"/>
      <c r="FG120" s="190"/>
      <c r="FH120" s="190"/>
      <c r="FI120" s="190"/>
      <c r="FJ120" s="190"/>
      <c r="FK120" s="190"/>
      <c r="FL120" s="190"/>
      <c r="FM120" s="190"/>
      <c r="FN120" s="190"/>
      <c r="FO120" s="190"/>
      <c r="FP120" s="190"/>
      <c r="FQ120" s="190"/>
      <c r="FR120" s="190"/>
      <c r="FS120" s="190"/>
      <c r="FT120" s="190"/>
      <c r="FU120" s="190"/>
      <c r="FV120" s="190"/>
      <c r="FW120" s="190"/>
      <c r="FX120" s="190"/>
      <c r="FY120" s="190"/>
      <c r="FZ120" s="190"/>
      <c r="GA120" s="190"/>
      <c r="GB120" s="190"/>
      <c r="GC120" s="190"/>
      <c r="GD120" s="190"/>
      <c r="GE120" s="190"/>
      <c r="GF120" s="190"/>
      <c r="GG120" s="190"/>
      <c r="GH120" s="190"/>
      <c r="GI120" s="190"/>
      <c r="GJ120" s="190"/>
      <c r="GK120" s="190"/>
      <c r="GL120" s="190"/>
      <c r="GM120" s="190"/>
      <c r="GN120" s="190"/>
      <c r="GO120" s="190"/>
      <c r="GP120" s="190"/>
      <c r="GQ120" s="190"/>
      <c r="GR120" s="190"/>
      <c r="GS120" s="190"/>
      <c r="GT120" s="190"/>
      <c r="GU120" s="190"/>
      <c r="GV120" s="190"/>
      <c r="GW120" s="190"/>
      <c r="GX120" s="190"/>
      <c r="GY120" s="190"/>
      <c r="GZ120" s="190"/>
      <c r="HA120" s="190"/>
      <c r="HB120" s="190"/>
      <c r="HC120" s="190"/>
      <c r="HD120" s="190"/>
      <c r="HE120" s="190"/>
      <c r="HF120" s="190"/>
      <c r="HG120" s="190"/>
      <c r="HH120" s="190"/>
      <c r="HI120" s="190"/>
      <c r="HJ120" s="190"/>
      <c r="HK120" s="190"/>
      <c r="HL120" s="190"/>
      <c r="HM120" s="190"/>
      <c r="HN120" s="190"/>
      <c r="HO120" s="190"/>
      <c r="HP120" s="190"/>
      <c r="HQ120" s="190"/>
      <c r="HR120" s="190"/>
      <c r="HS120" s="190"/>
      <c r="HT120" s="190"/>
      <c r="HU120" s="190"/>
      <c r="HV120" s="190"/>
      <c r="HW120" s="190"/>
      <c r="HX120" s="190"/>
      <c r="HY120" s="190"/>
      <c r="HZ120" s="190"/>
      <c r="IA120" s="190"/>
      <c r="IB120" s="190"/>
    </row>
    <row r="121" spans="1:236" s="137" customFormat="1" ht="14.25">
      <c r="A121" s="190"/>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c r="BC121" s="190"/>
      <c r="BD121" s="190"/>
      <c r="BE121" s="190"/>
      <c r="BF121" s="190"/>
      <c r="BG121" s="190"/>
      <c r="BH121" s="190"/>
      <c r="BI121" s="190"/>
      <c r="BJ121" s="190"/>
      <c r="BK121" s="190"/>
      <c r="BL121" s="190"/>
      <c r="BM121" s="190"/>
      <c r="BN121" s="190"/>
      <c r="BO121" s="190"/>
      <c r="BP121" s="190"/>
      <c r="BQ121" s="190"/>
      <c r="BR121" s="190"/>
      <c r="BS121" s="190"/>
      <c r="BT121" s="190"/>
      <c r="BU121" s="190"/>
      <c r="BV121" s="190"/>
      <c r="BW121" s="190"/>
      <c r="BX121" s="190"/>
      <c r="BY121" s="190"/>
      <c r="BZ121" s="190"/>
      <c r="CA121" s="190"/>
      <c r="CB121" s="190"/>
      <c r="CC121" s="190"/>
      <c r="CD121" s="190"/>
      <c r="CE121" s="190"/>
      <c r="CF121" s="190"/>
      <c r="CG121" s="190"/>
      <c r="CH121" s="190"/>
      <c r="CI121" s="190"/>
      <c r="CJ121" s="190"/>
      <c r="CK121" s="190"/>
      <c r="CL121" s="190"/>
      <c r="CM121" s="190"/>
      <c r="CN121" s="190"/>
      <c r="CO121" s="190"/>
      <c r="CP121" s="190"/>
      <c r="CQ121" s="190"/>
      <c r="CR121" s="190"/>
      <c r="CS121" s="190"/>
      <c r="CT121" s="190"/>
      <c r="CU121" s="190"/>
      <c r="CV121" s="190"/>
      <c r="CW121" s="190"/>
      <c r="CX121" s="190"/>
      <c r="CY121" s="190"/>
      <c r="CZ121" s="190"/>
      <c r="DA121" s="190"/>
      <c r="DB121" s="190"/>
      <c r="DC121" s="190"/>
      <c r="DD121" s="190"/>
      <c r="DE121" s="190"/>
      <c r="DF121" s="190"/>
      <c r="DG121" s="190"/>
      <c r="DH121" s="190"/>
      <c r="DI121" s="190"/>
      <c r="DJ121" s="190"/>
      <c r="DK121" s="190"/>
      <c r="DL121" s="190"/>
      <c r="DM121" s="190"/>
      <c r="DN121" s="190"/>
      <c r="DO121" s="190"/>
      <c r="DP121" s="190"/>
      <c r="DQ121" s="190"/>
      <c r="DR121" s="190"/>
      <c r="DS121" s="190"/>
      <c r="DT121" s="190"/>
      <c r="DU121" s="190"/>
      <c r="DV121" s="190"/>
      <c r="DW121" s="190"/>
      <c r="DX121" s="190"/>
      <c r="DY121" s="190"/>
      <c r="DZ121" s="190"/>
      <c r="EA121" s="190"/>
      <c r="EB121" s="190"/>
      <c r="EC121" s="190"/>
      <c r="ED121" s="190"/>
      <c r="EE121" s="190"/>
      <c r="EF121" s="190"/>
      <c r="EG121" s="190"/>
      <c r="EH121" s="190"/>
      <c r="EI121" s="190"/>
      <c r="EJ121" s="190"/>
      <c r="EK121" s="190"/>
      <c r="EL121" s="190"/>
      <c r="EM121" s="190"/>
      <c r="EN121" s="190"/>
      <c r="EO121" s="190"/>
      <c r="EP121" s="190"/>
      <c r="EQ121" s="190"/>
      <c r="ER121" s="190"/>
      <c r="ES121" s="190"/>
      <c r="ET121" s="190"/>
      <c r="EU121" s="190"/>
      <c r="EV121" s="190"/>
      <c r="EW121" s="190"/>
      <c r="EX121" s="190"/>
      <c r="EY121" s="190"/>
      <c r="EZ121" s="190"/>
      <c r="FA121" s="190"/>
      <c r="FB121" s="190"/>
      <c r="FC121" s="190"/>
      <c r="FD121" s="190"/>
      <c r="FE121" s="190"/>
      <c r="FF121" s="190"/>
      <c r="FG121" s="190"/>
      <c r="FH121" s="190"/>
      <c r="FI121" s="190"/>
      <c r="FJ121" s="190"/>
      <c r="FK121" s="190"/>
      <c r="FL121" s="190"/>
      <c r="FM121" s="190"/>
      <c r="FN121" s="190"/>
      <c r="FO121" s="190"/>
      <c r="FP121" s="190"/>
      <c r="FQ121" s="190"/>
      <c r="FR121" s="190"/>
      <c r="FS121" s="190"/>
      <c r="FT121" s="190"/>
      <c r="FU121" s="190"/>
      <c r="FV121" s="190"/>
      <c r="FW121" s="190"/>
      <c r="FX121" s="190"/>
      <c r="FY121" s="190"/>
      <c r="FZ121" s="190"/>
      <c r="GA121" s="190"/>
      <c r="GB121" s="190"/>
      <c r="GC121" s="190"/>
      <c r="GD121" s="190"/>
      <c r="GE121" s="190"/>
      <c r="GF121" s="190"/>
      <c r="GG121" s="190"/>
      <c r="GH121" s="190"/>
      <c r="GI121" s="190"/>
      <c r="GJ121" s="190"/>
      <c r="GK121" s="190"/>
      <c r="GL121" s="190"/>
      <c r="GM121" s="190"/>
      <c r="GN121" s="190"/>
      <c r="GO121" s="190"/>
      <c r="GP121" s="190"/>
      <c r="GQ121" s="190"/>
      <c r="GR121" s="190"/>
      <c r="GS121" s="190"/>
      <c r="GT121" s="190"/>
      <c r="GU121" s="190"/>
      <c r="GV121" s="190"/>
      <c r="GW121" s="190"/>
      <c r="GX121" s="190"/>
      <c r="GY121" s="190"/>
      <c r="GZ121" s="190"/>
      <c r="HA121" s="190"/>
      <c r="HB121" s="190"/>
      <c r="HC121" s="190"/>
      <c r="HD121" s="190"/>
      <c r="HE121" s="190"/>
      <c r="HF121" s="190"/>
      <c r="HG121" s="190"/>
      <c r="HH121" s="190"/>
      <c r="HI121" s="190"/>
      <c r="HJ121" s="190"/>
      <c r="HK121" s="190"/>
      <c r="HL121" s="190"/>
      <c r="HM121" s="190"/>
      <c r="HN121" s="190"/>
      <c r="HO121" s="190"/>
      <c r="HP121" s="190"/>
      <c r="HQ121" s="190"/>
      <c r="HR121" s="190"/>
      <c r="HS121" s="190"/>
      <c r="HT121" s="190"/>
      <c r="HU121" s="190"/>
      <c r="HV121" s="190"/>
      <c r="HW121" s="190"/>
      <c r="HX121" s="190"/>
      <c r="HY121" s="190"/>
      <c r="HZ121" s="190"/>
      <c r="IA121" s="190"/>
      <c r="IB121" s="190"/>
    </row>
    <row r="122" spans="1:236" s="137" customFormat="1" ht="14.25">
      <c r="A122" s="190"/>
      <c r="B122" s="190"/>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c r="AP122" s="190"/>
      <c r="AQ122" s="190"/>
      <c r="AR122" s="190"/>
      <c r="AS122" s="190"/>
      <c r="AT122" s="190"/>
      <c r="AU122" s="190"/>
      <c r="AV122" s="190"/>
      <c r="AW122" s="190"/>
      <c r="AX122" s="190"/>
      <c r="AY122" s="190"/>
      <c r="AZ122" s="190"/>
      <c r="BA122" s="190"/>
      <c r="BB122" s="190"/>
      <c r="BC122" s="190"/>
      <c r="BD122" s="190"/>
      <c r="BE122" s="190"/>
      <c r="BF122" s="190"/>
      <c r="BG122" s="190"/>
      <c r="BH122" s="190"/>
      <c r="BI122" s="190"/>
      <c r="BJ122" s="190"/>
      <c r="BK122" s="190"/>
      <c r="BL122" s="190"/>
      <c r="BM122" s="190"/>
      <c r="BN122" s="190"/>
      <c r="BO122" s="190"/>
      <c r="BP122" s="190"/>
      <c r="BQ122" s="190"/>
      <c r="BR122" s="190"/>
      <c r="BS122" s="190"/>
      <c r="BT122" s="190"/>
      <c r="BU122" s="190"/>
      <c r="BV122" s="190"/>
      <c r="BW122" s="190"/>
      <c r="BX122" s="190"/>
      <c r="BY122" s="190"/>
      <c r="BZ122" s="190"/>
      <c r="CA122" s="190"/>
      <c r="CB122" s="190"/>
      <c r="CC122" s="190"/>
      <c r="CD122" s="190"/>
      <c r="CE122" s="190"/>
      <c r="CF122" s="190"/>
      <c r="CG122" s="190"/>
      <c r="CH122" s="190"/>
      <c r="CI122" s="190"/>
      <c r="CJ122" s="190"/>
      <c r="CK122" s="190"/>
      <c r="CL122" s="190"/>
      <c r="CM122" s="190"/>
      <c r="CN122" s="190"/>
      <c r="CO122" s="190"/>
      <c r="CP122" s="190"/>
      <c r="CQ122" s="190"/>
      <c r="CR122" s="190"/>
      <c r="CS122" s="190"/>
      <c r="CT122" s="190"/>
      <c r="CU122" s="190"/>
      <c r="CV122" s="190"/>
      <c r="CW122" s="190"/>
      <c r="CX122" s="190"/>
      <c r="CY122" s="190"/>
      <c r="CZ122" s="190"/>
      <c r="DA122" s="190"/>
      <c r="DB122" s="190"/>
      <c r="DC122" s="190"/>
      <c r="DD122" s="190"/>
      <c r="DE122" s="190"/>
      <c r="DF122" s="190"/>
      <c r="DG122" s="190"/>
      <c r="DH122" s="190"/>
      <c r="DI122" s="190"/>
      <c r="DJ122" s="190"/>
      <c r="DK122" s="190"/>
      <c r="DL122" s="190"/>
      <c r="DM122" s="190"/>
      <c r="DN122" s="190"/>
      <c r="DO122" s="190"/>
      <c r="DP122" s="190"/>
      <c r="DQ122" s="190"/>
      <c r="DR122" s="190"/>
      <c r="DS122" s="190"/>
      <c r="DT122" s="190"/>
      <c r="DU122" s="190"/>
      <c r="DV122" s="190"/>
      <c r="DW122" s="190"/>
      <c r="DX122" s="190"/>
      <c r="DY122" s="190"/>
      <c r="DZ122" s="190"/>
      <c r="EA122" s="190"/>
      <c r="EB122" s="190"/>
      <c r="EC122" s="190"/>
      <c r="ED122" s="190"/>
      <c r="EE122" s="190"/>
      <c r="EF122" s="190"/>
      <c r="EG122" s="190"/>
      <c r="EH122" s="190"/>
      <c r="EI122" s="190"/>
      <c r="EJ122" s="190"/>
      <c r="EK122" s="190"/>
      <c r="EL122" s="190"/>
      <c r="EM122" s="190"/>
      <c r="EN122" s="190"/>
      <c r="EO122" s="190"/>
      <c r="EP122" s="190"/>
      <c r="EQ122" s="190"/>
      <c r="ER122" s="190"/>
      <c r="ES122" s="190"/>
      <c r="ET122" s="190"/>
      <c r="EU122" s="190"/>
      <c r="EV122" s="190"/>
      <c r="EW122" s="190"/>
      <c r="EX122" s="190"/>
      <c r="EY122" s="190"/>
      <c r="EZ122" s="190"/>
      <c r="FA122" s="190"/>
      <c r="FB122" s="190"/>
      <c r="FC122" s="190"/>
      <c r="FD122" s="190"/>
      <c r="FE122" s="190"/>
      <c r="FF122" s="190"/>
      <c r="FG122" s="190"/>
      <c r="FH122" s="190"/>
      <c r="FI122" s="190"/>
      <c r="FJ122" s="190"/>
      <c r="FK122" s="190"/>
      <c r="FL122" s="190"/>
      <c r="FM122" s="190"/>
      <c r="FN122" s="190"/>
      <c r="FO122" s="190"/>
      <c r="FP122" s="190"/>
      <c r="FQ122" s="190"/>
      <c r="FR122" s="190"/>
      <c r="FS122" s="190"/>
      <c r="FT122" s="190"/>
      <c r="FU122" s="190"/>
      <c r="FV122" s="190"/>
      <c r="FW122" s="190"/>
      <c r="FX122" s="190"/>
      <c r="FY122" s="190"/>
      <c r="FZ122" s="190"/>
      <c r="GA122" s="190"/>
      <c r="GB122" s="190"/>
      <c r="GC122" s="190"/>
      <c r="GD122" s="190"/>
      <c r="GE122" s="190"/>
      <c r="GF122" s="190"/>
      <c r="GG122" s="190"/>
      <c r="GH122" s="190"/>
      <c r="GI122" s="190"/>
      <c r="GJ122" s="190"/>
      <c r="GK122" s="190"/>
      <c r="GL122" s="190"/>
      <c r="GM122" s="190"/>
      <c r="GN122" s="190"/>
      <c r="GO122" s="190"/>
      <c r="GP122" s="190"/>
      <c r="GQ122" s="190"/>
      <c r="GR122" s="190"/>
      <c r="GS122" s="190"/>
      <c r="GT122" s="190"/>
      <c r="GU122" s="190"/>
      <c r="GV122" s="190"/>
      <c r="GW122" s="190"/>
      <c r="GX122" s="190"/>
      <c r="GY122" s="190"/>
      <c r="GZ122" s="190"/>
      <c r="HA122" s="190"/>
      <c r="HB122" s="190"/>
      <c r="HC122" s="190"/>
      <c r="HD122" s="190"/>
      <c r="HE122" s="190"/>
      <c r="HF122" s="190"/>
      <c r="HG122" s="190"/>
      <c r="HH122" s="190"/>
      <c r="HI122" s="190"/>
      <c r="HJ122" s="190"/>
      <c r="HK122" s="190"/>
      <c r="HL122" s="190"/>
      <c r="HM122" s="190"/>
      <c r="HN122" s="190"/>
      <c r="HO122" s="190"/>
      <c r="HP122" s="190"/>
      <c r="HQ122" s="190"/>
      <c r="HR122" s="190"/>
      <c r="HS122" s="190"/>
      <c r="HT122" s="190"/>
      <c r="HU122" s="190"/>
      <c r="HV122" s="190"/>
      <c r="HW122" s="190"/>
      <c r="HX122" s="190"/>
      <c r="HY122" s="190"/>
      <c r="HZ122" s="190"/>
      <c r="IA122" s="190"/>
      <c r="IB122" s="190"/>
    </row>
    <row r="123" spans="1:236" s="137" customFormat="1" ht="14.25">
      <c r="A123" s="190"/>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c r="AP123" s="190"/>
      <c r="AQ123" s="190"/>
      <c r="AR123" s="190"/>
      <c r="AS123" s="190"/>
      <c r="AT123" s="190"/>
      <c r="AU123" s="190"/>
      <c r="AV123" s="190"/>
      <c r="AW123" s="190"/>
      <c r="AX123" s="190"/>
      <c r="AY123" s="190"/>
      <c r="AZ123" s="190"/>
      <c r="BA123" s="190"/>
      <c r="BB123" s="190"/>
      <c r="BC123" s="190"/>
      <c r="BD123" s="190"/>
      <c r="BE123" s="190"/>
      <c r="BF123" s="190"/>
      <c r="BG123" s="190"/>
      <c r="BH123" s="190"/>
      <c r="BI123" s="190"/>
      <c r="BJ123" s="190"/>
      <c r="BK123" s="190"/>
      <c r="BL123" s="190"/>
      <c r="BM123" s="190"/>
      <c r="BN123" s="190"/>
      <c r="BO123" s="190"/>
      <c r="BP123" s="190"/>
      <c r="BQ123" s="190"/>
      <c r="BR123" s="190"/>
      <c r="BS123" s="190"/>
      <c r="BT123" s="190"/>
      <c r="BU123" s="190"/>
      <c r="BV123" s="190"/>
      <c r="BW123" s="190"/>
      <c r="BX123" s="190"/>
      <c r="BY123" s="190"/>
      <c r="BZ123" s="190"/>
      <c r="CA123" s="190"/>
      <c r="CB123" s="190"/>
      <c r="CC123" s="190"/>
      <c r="CD123" s="190"/>
      <c r="CE123" s="190"/>
      <c r="CF123" s="190"/>
      <c r="CG123" s="190"/>
      <c r="CH123" s="190"/>
      <c r="CI123" s="190"/>
      <c r="CJ123" s="190"/>
      <c r="CK123" s="190"/>
      <c r="CL123" s="190"/>
      <c r="CM123" s="190"/>
      <c r="CN123" s="190"/>
      <c r="CO123" s="190"/>
      <c r="CP123" s="190"/>
      <c r="CQ123" s="190"/>
      <c r="CR123" s="190"/>
      <c r="CS123" s="190"/>
      <c r="CT123" s="190"/>
      <c r="CU123" s="190"/>
      <c r="CV123" s="190"/>
      <c r="CW123" s="190"/>
      <c r="CX123" s="190"/>
      <c r="CY123" s="190"/>
      <c r="CZ123" s="190"/>
      <c r="DA123" s="190"/>
      <c r="DB123" s="190"/>
      <c r="DC123" s="190"/>
      <c r="DD123" s="190"/>
      <c r="DE123" s="190"/>
      <c r="DF123" s="190"/>
      <c r="DG123" s="190"/>
      <c r="DH123" s="190"/>
      <c r="DI123" s="190"/>
      <c r="DJ123" s="190"/>
      <c r="DK123" s="190"/>
      <c r="DL123" s="190"/>
      <c r="DM123" s="190"/>
      <c r="DN123" s="190"/>
      <c r="DO123" s="190"/>
      <c r="DP123" s="190"/>
      <c r="DQ123" s="190"/>
      <c r="DR123" s="190"/>
      <c r="DS123" s="190"/>
      <c r="DT123" s="190"/>
      <c r="DU123" s="190"/>
      <c r="DV123" s="190"/>
      <c r="DW123" s="190"/>
      <c r="DX123" s="190"/>
      <c r="DY123" s="190"/>
      <c r="DZ123" s="190"/>
      <c r="EA123" s="190"/>
      <c r="EB123" s="190"/>
      <c r="EC123" s="190"/>
      <c r="ED123" s="190"/>
      <c r="EE123" s="190"/>
      <c r="EF123" s="190"/>
      <c r="EG123" s="190"/>
      <c r="EH123" s="190"/>
      <c r="EI123" s="190"/>
      <c r="EJ123" s="190"/>
      <c r="EK123" s="190"/>
      <c r="EL123" s="190"/>
      <c r="EM123" s="190"/>
      <c r="EN123" s="190"/>
      <c r="EO123" s="190"/>
      <c r="EP123" s="190"/>
      <c r="EQ123" s="190"/>
      <c r="ER123" s="190"/>
      <c r="ES123" s="190"/>
      <c r="ET123" s="190"/>
      <c r="EU123" s="190"/>
      <c r="EV123" s="190"/>
      <c r="EW123" s="190"/>
      <c r="EX123" s="190"/>
      <c r="EY123" s="190"/>
      <c r="EZ123" s="190"/>
      <c r="FA123" s="190"/>
      <c r="FB123" s="190"/>
      <c r="FC123" s="190"/>
      <c r="FD123" s="190"/>
      <c r="FE123" s="190"/>
      <c r="FF123" s="190"/>
      <c r="FG123" s="190"/>
      <c r="FH123" s="190"/>
      <c r="FI123" s="190"/>
      <c r="FJ123" s="190"/>
      <c r="FK123" s="190"/>
      <c r="FL123" s="190"/>
      <c r="FM123" s="190"/>
      <c r="FN123" s="190"/>
      <c r="FO123" s="190"/>
      <c r="FP123" s="190"/>
      <c r="FQ123" s="190"/>
      <c r="FR123" s="190"/>
      <c r="FS123" s="190"/>
      <c r="FT123" s="190"/>
      <c r="FU123" s="190"/>
      <c r="FV123" s="190"/>
      <c r="FW123" s="190"/>
      <c r="FX123" s="190"/>
      <c r="FY123" s="190"/>
      <c r="FZ123" s="190"/>
      <c r="GA123" s="190"/>
      <c r="GB123" s="190"/>
      <c r="GC123" s="190"/>
      <c r="GD123" s="190"/>
      <c r="GE123" s="190"/>
      <c r="GF123" s="190"/>
      <c r="GG123" s="190"/>
      <c r="GH123" s="190"/>
      <c r="GI123" s="190"/>
      <c r="GJ123" s="190"/>
      <c r="GK123" s="190"/>
      <c r="GL123" s="190"/>
      <c r="GM123" s="190"/>
      <c r="GN123" s="190"/>
      <c r="GO123" s="190"/>
      <c r="GP123" s="190"/>
      <c r="GQ123" s="190"/>
      <c r="GR123" s="190"/>
      <c r="GS123" s="190"/>
      <c r="GT123" s="190"/>
      <c r="GU123" s="190"/>
      <c r="GV123" s="190"/>
      <c r="GW123" s="190"/>
      <c r="GX123" s="190"/>
      <c r="GY123" s="190"/>
      <c r="GZ123" s="190"/>
      <c r="HA123" s="190"/>
      <c r="HB123" s="190"/>
      <c r="HC123" s="190"/>
      <c r="HD123" s="190"/>
      <c r="HE123" s="190"/>
      <c r="HF123" s="190"/>
      <c r="HG123" s="190"/>
      <c r="HH123" s="190"/>
      <c r="HI123" s="190"/>
      <c r="HJ123" s="190"/>
      <c r="HK123" s="190"/>
      <c r="HL123" s="190"/>
      <c r="HM123" s="190"/>
      <c r="HN123" s="190"/>
      <c r="HO123" s="190"/>
      <c r="HP123" s="190"/>
      <c r="HQ123" s="190"/>
      <c r="HR123" s="190"/>
      <c r="HS123" s="190"/>
      <c r="HT123" s="190"/>
      <c r="HU123" s="190"/>
      <c r="HV123" s="190"/>
      <c r="HW123" s="190"/>
      <c r="HX123" s="190"/>
      <c r="HY123" s="190"/>
      <c r="HZ123" s="190"/>
      <c r="IA123" s="190"/>
      <c r="IB123" s="190"/>
    </row>
    <row r="124" spans="1:236" s="137" customFormat="1" ht="14.25">
      <c r="A124" s="190"/>
      <c r="B124" s="190"/>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0"/>
      <c r="AZ124" s="190"/>
      <c r="BA124" s="190"/>
      <c r="BB124" s="190"/>
      <c r="BC124" s="190"/>
      <c r="BD124" s="190"/>
      <c r="BE124" s="190"/>
      <c r="BF124" s="190"/>
      <c r="BG124" s="190"/>
      <c r="BH124" s="190"/>
      <c r="BI124" s="190"/>
      <c r="BJ124" s="190"/>
      <c r="BK124" s="190"/>
      <c r="BL124" s="190"/>
      <c r="BM124" s="190"/>
      <c r="BN124" s="190"/>
      <c r="BO124" s="190"/>
      <c r="BP124" s="190"/>
      <c r="BQ124" s="190"/>
      <c r="BR124" s="190"/>
      <c r="BS124" s="190"/>
      <c r="BT124" s="190"/>
      <c r="BU124" s="190"/>
      <c r="BV124" s="190"/>
      <c r="BW124" s="190"/>
      <c r="BX124" s="190"/>
      <c r="BY124" s="190"/>
      <c r="BZ124" s="190"/>
      <c r="CA124" s="190"/>
      <c r="CB124" s="190"/>
      <c r="CC124" s="190"/>
      <c r="CD124" s="190"/>
      <c r="CE124" s="190"/>
      <c r="CF124" s="190"/>
      <c r="CG124" s="190"/>
      <c r="CH124" s="190"/>
      <c r="CI124" s="190"/>
      <c r="CJ124" s="190"/>
      <c r="CK124" s="190"/>
      <c r="CL124" s="190"/>
      <c r="CM124" s="190"/>
      <c r="CN124" s="190"/>
      <c r="CO124" s="190"/>
      <c r="CP124" s="190"/>
      <c r="CQ124" s="190"/>
      <c r="CR124" s="190"/>
      <c r="CS124" s="190"/>
      <c r="CT124" s="190"/>
      <c r="CU124" s="190"/>
      <c r="CV124" s="190"/>
      <c r="CW124" s="190"/>
      <c r="CX124" s="190"/>
      <c r="CY124" s="190"/>
      <c r="CZ124" s="190"/>
      <c r="DA124" s="190"/>
      <c r="DB124" s="190"/>
      <c r="DC124" s="190"/>
      <c r="DD124" s="190"/>
      <c r="DE124" s="190"/>
      <c r="DF124" s="190"/>
      <c r="DG124" s="190"/>
      <c r="DH124" s="190"/>
      <c r="DI124" s="190"/>
      <c r="DJ124" s="190"/>
      <c r="DK124" s="190"/>
      <c r="DL124" s="190"/>
      <c r="DM124" s="190"/>
      <c r="DN124" s="190"/>
      <c r="DO124" s="190"/>
      <c r="DP124" s="190"/>
      <c r="DQ124" s="190"/>
      <c r="DR124" s="190"/>
      <c r="DS124" s="190"/>
      <c r="DT124" s="190"/>
      <c r="DU124" s="190"/>
      <c r="DV124" s="190"/>
      <c r="DW124" s="190"/>
      <c r="DX124" s="190"/>
      <c r="DY124" s="190"/>
      <c r="DZ124" s="190"/>
      <c r="EA124" s="190"/>
      <c r="EB124" s="190"/>
      <c r="EC124" s="190"/>
      <c r="ED124" s="190"/>
      <c r="EE124" s="190"/>
      <c r="EF124" s="190"/>
      <c r="EG124" s="190"/>
      <c r="EH124" s="190"/>
      <c r="EI124" s="190"/>
      <c r="EJ124" s="190"/>
      <c r="EK124" s="190"/>
      <c r="EL124" s="190"/>
      <c r="EM124" s="190"/>
      <c r="EN124" s="190"/>
      <c r="EO124" s="190"/>
      <c r="EP124" s="190"/>
      <c r="EQ124" s="190"/>
      <c r="ER124" s="190"/>
      <c r="ES124" s="190"/>
      <c r="ET124" s="190"/>
      <c r="EU124" s="190"/>
      <c r="EV124" s="190"/>
      <c r="EW124" s="190"/>
      <c r="EX124" s="190"/>
      <c r="EY124" s="190"/>
      <c r="EZ124" s="190"/>
      <c r="FA124" s="190"/>
      <c r="FB124" s="190"/>
      <c r="FC124" s="190"/>
      <c r="FD124" s="190"/>
      <c r="FE124" s="190"/>
      <c r="FF124" s="190"/>
      <c r="FG124" s="190"/>
      <c r="FH124" s="190"/>
      <c r="FI124" s="190"/>
      <c r="FJ124" s="190"/>
      <c r="FK124" s="190"/>
      <c r="FL124" s="190"/>
      <c r="FM124" s="190"/>
      <c r="FN124" s="190"/>
      <c r="FO124" s="190"/>
      <c r="FP124" s="190"/>
      <c r="FQ124" s="190"/>
      <c r="FR124" s="190"/>
      <c r="FS124" s="190"/>
      <c r="FT124" s="190"/>
      <c r="FU124" s="190"/>
      <c r="FV124" s="190"/>
      <c r="FW124" s="190"/>
      <c r="FX124" s="190"/>
      <c r="FY124" s="190"/>
      <c r="FZ124" s="190"/>
      <c r="GA124" s="190"/>
      <c r="GB124" s="190"/>
      <c r="GC124" s="190"/>
      <c r="GD124" s="190"/>
      <c r="GE124" s="190"/>
      <c r="GF124" s="190"/>
      <c r="GG124" s="190"/>
      <c r="GH124" s="190"/>
      <c r="GI124" s="190"/>
      <c r="GJ124" s="190"/>
      <c r="GK124" s="190"/>
      <c r="GL124" s="190"/>
      <c r="GM124" s="190"/>
      <c r="GN124" s="190"/>
      <c r="GO124" s="190"/>
      <c r="GP124" s="190"/>
      <c r="GQ124" s="190"/>
      <c r="GR124" s="190"/>
      <c r="GS124" s="190"/>
      <c r="GT124" s="190"/>
      <c r="GU124" s="190"/>
      <c r="GV124" s="190"/>
      <c r="GW124" s="190"/>
      <c r="GX124" s="190"/>
      <c r="GY124" s="190"/>
      <c r="GZ124" s="190"/>
      <c r="HA124" s="190"/>
      <c r="HB124" s="190"/>
      <c r="HC124" s="190"/>
      <c r="HD124" s="190"/>
      <c r="HE124" s="190"/>
      <c r="HF124" s="190"/>
      <c r="HG124" s="190"/>
      <c r="HH124" s="190"/>
      <c r="HI124" s="190"/>
      <c r="HJ124" s="190"/>
      <c r="HK124" s="190"/>
      <c r="HL124" s="190"/>
      <c r="HM124" s="190"/>
      <c r="HN124" s="190"/>
      <c r="HO124" s="190"/>
      <c r="HP124" s="190"/>
      <c r="HQ124" s="190"/>
      <c r="HR124" s="190"/>
      <c r="HS124" s="190"/>
      <c r="HT124" s="190"/>
      <c r="HU124" s="190"/>
      <c r="HV124" s="190"/>
      <c r="HW124" s="190"/>
      <c r="HX124" s="190"/>
      <c r="HY124" s="190"/>
      <c r="HZ124" s="190"/>
      <c r="IA124" s="190"/>
      <c r="IB124" s="190"/>
    </row>
    <row r="125" spans="1:236" s="137" customFormat="1" ht="14.25">
      <c r="A125" s="190"/>
      <c r="B125" s="190"/>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c r="AP125" s="190"/>
      <c r="AQ125" s="190"/>
      <c r="AR125" s="190"/>
      <c r="AS125" s="190"/>
      <c r="AT125" s="190"/>
      <c r="AU125" s="190"/>
      <c r="AV125" s="190"/>
      <c r="AW125" s="190"/>
      <c r="AX125" s="190"/>
      <c r="AY125" s="190"/>
      <c r="AZ125" s="190"/>
      <c r="BA125" s="190"/>
      <c r="BB125" s="190"/>
      <c r="BC125" s="190"/>
      <c r="BD125" s="190"/>
      <c r="BE125" s="190"/>
      <c r="BF125" s="190"/>
      <c r="BG125" s="190"/>
      <c r="BH125" s="190"/>
      <c r="BI125" s="190"/>
      <c r="BJ125" s="190"/>
      <c r="BK125" s="190"/>
      <c r="BL125" s="190"/>
      <c r="BM125" s="190"/>
      <c r="BN125" s="190"/>
      <c r="BO125" s="190"/>
      <c r="BP125" s="190"/>
      <c r="BQ125" s="190"/>
      <c r="BR125" s="190"/>
      <c r="BS125" s="190"/>
      <c r="BT125" s="190"/>
      <c r="BU125" s="190"/>
      <c r="BV125" s="190"/>
      <c r="BW125" s="190"/>
      <c r="BX125" s="190"/>
      <c r="BY125" s="190"/>
      <c r="BZ125" s="190"/>
      <c r="CA125" s="190"/>
      <c r="CB125" s="190"/>
      <c r="CC125" s="190"/>
      <c r="CD125" s="190"/>
      <c r="CE125" s="190"/>
      <c r="CF125" s="190"/>
      <c r="CG125" s="190"/>
      <c r="CH125" s="190"/>
      <c r="CI125" s="190"/>
      <c r="CJ125" s="190"/>
      <c r="CK125" s="190"/>
      <c r="CL125" s="190"/>
      <c r="CM125" s="190"/>
      <c r="CN125" s="190"/>
      <c r="CO125" s="190"/>
      <c r="CP125" s="190"/>
      <c r="CQ125" s="190"/>
      <c r="CR125" s="190"/>
      <c r="CS125" s="190"/>
      <c r="CT125" s="190"/>
      <c r="CU125" s="190"/>
      <c r="CV125" s="190"/>
      <c r="CW125" s="190"/>
      <c r="CX125" s="190"/>
      <c r="CY125" s="190"/>
      <c r="CZ125" s="190"/>
      <c r="DA125" s="190"/>
      <c r="DB125" s="190"/>
      <c r="DC125" s="190"/>
      <c r="DD125" s="190"/>
      <c r="DE125" s="190"/>
      <c r="DF125" s="190"/>
      <c r="DG125" s="190"/>
      <c r="DH125" s="190"/>
      <c r="DI125" s="190"/>
      <c r="DJ125" s="190"/>
      <c r="DK125" s="190"/>
      <c r="DL125" s="190"/>
      <c r="DM125" s="190"/>
      <c r="DN125" s="190"/>
      <c r="DO125" s="190"/>
      <c r="DP125" s="190"/>
      <c r="DQ125" s="190"/>
      <c r="DR125" s="190"/>
      <c r="DS125" s="190"/>
      <c r="DT125" s="190"/>
      <c r="DU125" s="190"/>
      <c r="DV125" s="190"/>
      <c r="DW125" s="190"/>
      <c r="DX125" s="190"/>
      <c r="DY125" s="190"/>
      <c r="DZ125" s="190"/>
      <c r="EA125" s="190"/>
      <c r="EB125" s="190"/>
      <c r="EC125" s="190"/>
      <c r="ED125" s="190"/>
      <c r="EE125" s="190"/>
      <c r="EF125" s="190"/>
      <c r="EG125" s="190"/>
      <c r="EH125" s="190"/>
      <c r="EI125" s="190"/>
      <c r="EJ125" s="190"/>
      <c r="EK125" s="190"/>
      <c r="EL125" s="190"/>
      <c r="EM125" s="190"/>
      <c r="EN125" s="190"/>
      <c r="EO125" s="190"/>
      <c r="EP125" s="190"/>
      <c r="EQ125" s="190"/>
      <c r="ER125" s="190"/>
      <c r="ES125" s="190"/>
      <c r="ET125" s="190"/>
      <c r="EU125" s="190"/>
      <c r="EV125" s="190"/>
      <c r="EW125" s="190"/>
      <c r="EX125" s="190"/>
      <c r="EY125" s="190"/>
      <c r="EZ125" s="190"/>
      <c r="FA125" s="190"/>
      <c r="FB125" s="190"/>
      <c r="FC125" s="190"/>
      <c r="FD125" s="190"/>
      <c r="FE125" s="190"/>
      <c r="FF125" s="190"/>
      <c r="FG125" s="190"/>
      <c r="FH125" s="190"/>
      <c r="FI125" s="190"/>
      <c r="FJ125" s="190"/>
      <c r="FK125" s="190"/>
      <c r="FL125" s="190"/>
      <c r="FM125" s="190"/>
      <c r="FN125" s="190"/>
      <c r="FO125" s="190"/>
      <c r="FP125" s="190"/>
      <c r="FQ125" s="190"/>
      <c r="FR125" s="190"/>
      <c r="FS125" s="190"/>
      <c r="FT125" s="190"/>
      <c r="FU125" s="190"/>
      <c r="FV125" s="190"/>
      <c r="FW125" s="190"/>
      <c r="FX125" s="190"/>
      <c r="FY125" s="190"/>
      <c r="FZ125" s="190"/>
      <c r="GA125" s="190"/>
      <c r="GB125" s="190"/>
      <c r="GC125" s="190"/>
      <c r="GD125" s="190"/>
      <c r="GE125" s="190"/>
      <c r="GF125" s="190"/>
      <c r="GG125" s="190"/>
      <c r="GH125" s="190"/>
      <c r="GI125" s="190"/>
      <c r="GJ125" s="190"/>
      <c r="GK125" s="190"/>
      <c r="GL125" s="190"/>
      <c r="GM125" s="190"/>
      <c r="GN125" s="190"/>
      <c r="GO125" s="190"/>
      <c r="GP125" s="190"/>
      <c r="GQ125" s="190"/>
      <c r="GR125" s="190"/>
      <c r="GS125" s="190"/>
      <c r="GT125" s="190"/>
      <c r="GU125" s="190"/>
      <c r="GV125" s="190"/>
      <c r="GW125" s="190"/>
      <c r="GX125" s="190"/>
      <c r="GY125" s="190"/>
      <c r="GZ125" s="190"/>
      <c r="HA125" s="190"/>
      <c r="HB125" s="190"/>
      <c r="HC125" s="190"/>
      <c r="HD125" s="190"/>
      <c r="HE125" s="190"/>
      <c r="HF125" s="190"/>
      <c r="HG125" s="190"/>
      <c r="HH125" s="190"/>
      <c r="HI125" s="190"/>
      <c r="HJ125" s="190"/>
      <c r="HK125" s="190"/>
      <c r="HL125" s="190"/>
      <c r="HM125" s="190"/>
      <c r="HN125" s="190"/>
      <c r="HO125" s="190"/>
      <c r="HP125" s="190"/>
      <c r="HQ125" s="190"/>
      <c r="HR125" s="190"/>
      <c r="HS125" s="190"/>
      <c r="HT125" s="190"/>
      <c r="HU125" s="190"/>
      <c r="HV125" s="190"/>
      <c r="HW125" s="190"/>
      <c r="HX125" s="190"/>
      <c r="HY125" s="190"/>
      <c r="HZ125" s="190"/>
      <c r="IA125" s="190"/>
      <c r="IB125" s="190"/>
    </row>
    <row r="126" spans="1:236" s="137" customFormat="1" ht="14.25">
      <c r="A126" s="190"/>
      <c r="B126" s="190"/>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0"/>
      <c r="AY126" s="190"/>
      <c r="AZ126" s="190"/>
      <c r="BA126" s="190"/>
      <c r="BB126" s="190"/>
      <c r="BC126" s="190"/>
      <c r="BD126" s="190"/>
      <c r="BE126" s="190"/>
      <c r="BF126" s="190"/>
      <c r="BG126" s="190"/>
      <c r="BH126" s="190"/>
      <c r="BI126" s="190"/>
      <c r="BJ126" s="190"/>
      <c r="BK126" s="190"/>
      <c r="BL126" s="190"/>
      <c r="BM126" s="190"/>
      <c r="BN126" s="190"/>
      <c r="BO126" s="190"/>
      <c r="BP126" s="190"/>
      <c r="BQ126" s="190"/>
      <c r="BR126" s="190"/>
      <c r="BS126" s="190"/>
      <c r="BT126" s="190"/>
      <c r="BU126" s="190"/>
      <c r="BV126" s="190"/>
      <c r="BW126" s="190"/>
      <c r="BX126" s="190"/>
      <c r="BY126" s="190"/>
      <c r="BZ126" s="190"/>
      <c r="CA126" s="190"/>
      <c r="CB126" s="190"/>
      <c r="CC126" s="190"/>
      <c r="CD126" s="190"/>
      <c r="CE126" s="190"/>
      <c r="CF126" s="190"/>
      <c r="CG126" s="190"/>
      <c r="CH126" s="190"/>
      <c r="CI126" s="190"/>
      <c r="CJ126" s="190"/>
      <c r="CK126" s="190"/>
      <c r="CL126" s="190"/>
      <c r="CM126" s="190"/>
      <c r="CN126" s="190"/>
      <c r="CO126" s="190"/>
      <c r="CP126" s="190"/>
      <c r="CQ126" s="190"/>
      <c r="CR126" s="190"/>
      <c r="CS126" s="190"/>
      <c r="CT126" s="190"/>
      <c r="CU126" s="190"/>
      <c r="CV126" s="190"/>
      <c r="CW126" s="190"/>
      <c r="CX126" s="190"/>
      <c r="CY126" s="190"/>
      <c r="CZ126" s="190"/>
      <c r="DA126" s="190"/>
      <c r="DB126" s="190"/>
      <c r="DC126" s="190"/>
      <c r="DD126" s="190"/>
      <c r="DE126" s="190"/>
      <c r="DF126" s="190"/>
      <c r="DG126" s="190"/>
      <c r="DH126" s="190"/>
      <c r="DI126" s="190"/>
      <c r="DJ126" s="190"/>
      <c r="DK126" s="190"/>
      <c r="DL126" s="190"/>
      <c r="DM126" s="190"/>
      <c r="DN126" s="190"/>
      <c r="DO126" s="190"/>
      <c r="DP126" s="190"/>
      <c r="DQ126" s="190"/>
      <c r="DR126" s="190"/>
      <c r="DS126" s="190"/>
      <c r="DT126" s="190"/>
      <c r="DU126" s="190"/>
      <c r="DV126" s="190"/>
      <c r="DW126" s="190"/>
      <c r="DX126" s="190"/>
      <c r="DY126" s="190"/>
      <c r="DZ126" s="190"/>
      <c r="EA126" s="190"/>
      <c r="EB126" s="190"/>
      <c r="EC126" s="190"/>
      <c r="ED126" s="190"/>
      <c r="EE126" s="190"/>
      <c r="EF126" s="190"/>
      <c r="EG126" s="190"/>
      <c r="EH126" s="190"/>
      <c r="EI126" s="190"/>
      <c r="EJ126" s="190"/>
      <c r="EK126" s="190"/>
      <c r="EL126" s="190"/>
      <c r="EM126" s="190"/>
      <c r="EN126" s="190"/>
      <c r="EO126" s="190"/>
      <c r="EP126" s="190"/>
      <c r="EQ126" s="190"/>
      <c r="ER126" s="190"/>
      <c r="ES126" s="190"/>
      <c r="ET126" s="190"/>
      <c r="EU126" s="190"/>
      <c r="EV126" s="190"/>
      <c r="EW126" s="190"/>
      <c r="EX126" s="190"/>
      <c r="EY126" s="190"/>
      <c r="EZ126" s="190"/>
      <c r="FA126" s="190"/>
      <c r="FB126" s="190"/>
      <c r="FC126" s="190"/>
      <c r="FD126" s="190"/>
      <c r="FE126" s="190"/>
      <c r="FF126" s="190"/>
      <c r="FG126" s="190"/>
      <c r="FH126" s="190"/>
      <c r="FI126" s="190"/>
      <c r="FJ126" s="190"/>
      <c r="FK126" s="190"/>
      <c r="FL126" s="190"/>
      <c r="FM126" s="190"/>
      <c r="FN126" s="190"/>
      <c r="FO126" s="190"/>
      <c r="FP126" s="190"/>
      <c r="FQ126" s="190"/>
      <c r="FR126" s="190"/>
      <c r="FS126" s="190"/>
      <c r="FT126" s="190"/>
      <c r="FU126" s="190"/>
      <c r="FV126" s="190"/>
      <c r="FW126" s="190"/>
      <c r="FX126" s="190"/>
      <c r="FY126" s="190"/>
      <c r="FZ126" s="190"/>
      <c r="GA126" s="190"/>
      <c r="GB126" s="190"/>
      <c r="GC126" s="190"/>
      <c r="GD126" s="190"/>
      <c r="GE126" s="190"/>
      <c r="GF126" s="190"/>
      <c r="GG126" s="190"/>
      <c r="GH126" s="190"/>
      <c r="GI126" s="190"/>
      <c r="GJ126" s="190"/>
      <c r="GK126" s="190"/>
      <c r="GL126" s="190"/>
      <c r="GM126" s="190"/>
      <c r="GN126" s="190"/>
      <c r="GO126" s="190"/>
      <c r="GP126" s="190"/>
      <c r="GQ126" s="190"/>
      <c r="GR126" s="190"/>
      <c r="GS126" s="190"/>
      <c r="GT126" s="190"/>
      <c r="GU126" s="190"/>
      <c r="GV126" s="190"/>
      <c r="GW126" s="190"/>
      <c r="GX126" s="190"/>
      <c r="GY126" s="190"/>
      <c r="GZ126" s="190"/>
      <c r="HA126" s="190"/>
      <c r="HB126" s="190"/>
      <c r="HC126" s="190"/>
      <c r="HD126" s="190"/>
      <c r="HE126" s="190"/>
      <c r="HF126" s="190"/>
      <c r="HG126" s="190"/>
      <c r="HH126" s="190"/>
      <c r="HI126" s="190"/>
      <c r="HJ126" s="190"/>
      <c r="HK126" s="190"/>
      <c r="HL126" s="190"/>
      <c r="HM126" s="190"/>
      <c r="HN126" s="190"/>
      <c r="HO126" s="190"/>
      <c r="HP126" s="190"/>
      <c r="HQ126" s="190"/>
      <c r="HR126" s="190"/>
      <c r="HS126" s="190"/>
      <c r="HT126" s="190"/>
      <c r="HU126" s="190"/>
      <c r="HV126" s="190"/>
      <c r="HW126" s="190"/>
      <c r="HX126" s="190"/>
      <c r="HY126" s="190"/>
      <c r="HZ126" s="190"/>
      <c r="IA126" s="190"/>
      <c r="IB126" s="190"/>
    </row>
    <row r="127" spans="1:236" s="137" customFormat="1" ht="14.25">
      <c r="A127" s="190"/>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c r="AY127" s="190"/>
      <c r="AZ127" s="190"/>
      <c r="BA127" s="190"/>
      <c r="BB127" s="190"/>
      <c r="BC127" s="190"/>
      <c r="BD127" s="190"/>
      <c r="BE127" s="190"/>
      <c r="BF127" s="190"/>
      <c r="BG127" s="190"/>
      <c r="BH127" s="190"/>
      <c r="BI127" s="190"/>
      <c r="BJ127" s="190"/>
      <c r="BK127" s="190"/>
      <c r="BL127" s="190"/>
      <c r="BM127" s="190"/>
      <c r="BN127" s="190"/>
      <c r="BO127" s="190"/>
      <c r="BP127" s="190"/>
      <c r="BQ127" s="190"/>
      <c r="BR127" s="190"/>
      <c r="BS127" s="190"/>
      <c r="BT127" s="190"/>
      <c r="BU127" s="190"/>
      <c r="BV127" s="190"/>
      <c r="BW127" s="190"/>
      <c r="BX127" s="190"/>
      <c r="BY127" s="190"/>
      <c r="BZ127" s="190"/>
      <c r="CA127" s="190"/>
      <c r="CB127" s="190"/>
      <c r="CC127" s="190"/>
      <c r="CD127" s="190"/>
      <c r="CE127" s="190"/>
      <c r="CF127" s="190"/>
      <c r="CG127" s="190"/>
      <c r="CH127" s="190"/>
      <c r="CI127" s="190"/>
      <c r="CJ127" s="190"/>
      <c r="CK127" s="190"/>
      <c r="CL127" s="190"/>
      <c r="CM127" s="190"/>
      <c r="CN127" s="190"/>
      <c r="CO127" s="190"/>
      <c r="CP127" s="190"/>
      <c r="CQ127" s="190"/>
      <c r="CR127" s="190"/>
      <c r="CS127" s="190"/>
      <c r="CT127" s="190"/>
      <c r="CU127" s="190"/>
      <c r="CV127" s="190"/>
      <c r="CW127" s="190"/>
      <c r="CX127" s="190"/>
      <c r="CY127" s="190"/>
      <c r="CZ127" s="190"/>
      <c r="DA127" s="190"/>
      <c r="DB127" s="190"/>
      <c r="DC127" s="190"/>
      <c r="DD127" s="190"/>
      <c r="DE127" s="190"/>
      <c r="DF127" s="190"/>
      <c r="DG127" s="190"/>
      <c r="DH127" s="190"/>
      <c r="DI127" s="190"/>
      <c r="DJ127" s="190"/>
      <c r="DK127" s="190"/>
      <c r="DL127" s="190"/>
      <c r="DM127" s="190"/>
      <c r="DN127" s="190"/>
      <c r="DO127" s="190"/>
      <c r="DP127" s="190"/>
      <c r="DQ127" s="190"/>
      <c r="DR127" s="190"/>
      <c r="DS127" s="190"/>
      <c r="DT127" s="190"/>
      <c r="DU127" s="190"/>
      <c r="DV127" s="190"/>
      <c r="DW127" s="190"/>
      <c r="DX127" s="190"/>
      <c r="DY127" s="190"/>
      <c r="DZ127" s="190"/>
      <c r="EA127" s="190"/>
      <c r="EB127" s="190"/>
      <c r="EC127" s="190"/>
      <c r="ED127" s="190"/>
      <c r="EE127" s="190"/>
      <c r="EF127" s="190"/>
      <c r="EG127" s="190"/>
      <c r="EH127" s="190"/>
      <c r="EI127" s="190"/>
      <c r="EJ127" s="190"/>
      <c r="EK127" s="190"/>
      <c r="EL127" s="190"/>
      <c r="EM127" s="190"/>
      <c r="EN127" s="190"/>
      <c r="EO127" s="190"/>
      <c r="EP127" s="190"/>
      <c r="EQ127" s="190"/>
      <c r="ER127" s="190"/>
      <c r="ES127" s="190"/>
      <c r="ET127" s="190"/>
      <c r="EU127" s="190"/>
      <c r="EV127" s="190"/>
      <c r="EW127" s="190"/>
      <c r="EX127" s="190"/>
      <c r="EY127" s="190"/>
      <c r="EZ127" s="190"/>
      <c r="FA127" s="190"/>
      <c r="FB127" s="190"/>
      <c r="FC127" s="190"/>
      <c r="FD127" s="190"/>
      <c r="FE127" s="190"/>
      <c r="FF127" s="190"/>
      <c r="FG127" s="190"/>
      <c r="FH127" s="190"/>
      <c r="FI127" s="190"/>
      <c r="FJ127" s="190"/>
      <c r="FK127" s="190"/>
      <c r="FL127" s="190"/>
      <c r="FM127" s="190"/>
      <c r="FN127" s="190"/>
      <c r="FO127" s="190"/>
      <c r="FP127" s="190"/>
      <c r="FQ127" s="190"/>
      <c r="FR127" s="190"/>
      <c r="FS127" s="190"/>
      <c r="FT127" s="190"/>
      <c r="FU127" s="190"/>
      <c r="FV127" s="190"/>
      <c r="FW127" s="190"/>
      <c r="FX127" s="190"/>
      <c r="FY127" s="190"/>
      <c r="FZ127" s="190"/>
      <c r="GA127" s="190"/>
      <c r="GB127" s="190"/>
      <c r="GC127" s="190"/>
      <c r="GD127" s="190"/>
      <c r="GE127" s="190"/>
      <c r="GF127" s="190"/>
      <c r="GG127" s="190"/>
      <c r="GH127" s="190"/>
      <c r="GI127" s="190"/>
      <c r="GJ127" s="190"/>
      <c r="GK127" s="190"/>
      <c r="GL127" s="190"/>
      <c r="GM127" s="190"/>
      <c r="GN127" s="190"/>
      <c r="GO127" s="190"/>
      <c r="GP127" s="190"/>
      <c r="GQ127" s="190"/>
      <c r="GR127" s="190"/>
      <c r="GS127" s="190"/>
      <c r="GT127" s="190"/>
      <c r="GU127" s="190"/>
      <c r="GV127" s="190"/>
      <c r="GW127" s="190"/>
      <c r="GX127" s="190"/>
      <c r="GY127" s="190"/>
      <c r="GZ127" s="190"/>
      <c r="HA127" s="190"/>
      <c r="HB127" s="190"/>
      <c r="HC127" s="190"/>
      <c r="HD127" s="190"/>
      <c r="HE127" s="190"/>
      <c r="HF127" s="190"/>
      <c r="HG127" s="190"/>
      <c r="HH127" s="190"/>
      <c r="HI127" s="190"/>
      <c r="HJ127" s="190"/>
      <c r="HK127" s="190"/>
      <c r="HL127" s="190"/>
      <c r="HM127" s="190"/>
      <c r="HN127" s="190"/>
      <c r="HO127" s="190"/>
      <c r="HP127" s="190"/>
      <c r="HQ127" s="190"/>
      <c r="HR127" s="190"/>
      <c r="HS127" s="190"/>
      <c r="HT127" s="190"/>
      <c r="HU127" s="190"/>
      <c r="HV127" s="190"/>
      <c r="HW127" s="190"/>
      <c r="HX127" s="190"/>
      <c r="HY127" s="190"/>
      <c r="HZ127" s="190"/>
      <c r="IA127" s="190"/>
      <c r="IB127" s="190"/>
    </row>
    <row r="128" spans="1:236" s="137" customFormat="1" ht="14.25">
      <c r="A128" s="190"/>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AZ128" s="190"/>
      <c r="BA128" s="190"/>
      <c r="BB128" s="190"/>
      <c r="BC128" s="190"/>
      <c r="BD128" s="190"/>
      <c r="BE128" s="190"/>
      <c r="BF128" s="190"/>
      <c r="BG128" s="190"/>
      <c r="BH128" s="190"/>
      <c r="BI128" s="190"/>
      <c r="BJ128" s="190"/>
      <c r="BK128" s="190"/>
      <c r="BL128" s="190"/>
      <c r="BM128" s="190"/>
      <c r="BN128" s="190"/>
      <c r="BO128" s="190"/>
      <c r="BP128" s="190"/>
      <c r="BQ128" s="190"/>
      <c r="BR128" s="190"/>
      <c r="BS128" s="190"/>
      <c r="BT128" s="190"/>
      <c r="BU128" s="190"/>
      <c r="BV128" s="190"/>
      <c r="BW128" s="190"/>
      <c r="BX128" s="190"/>
      <c r="BY128" s="190"/>
      <c r="BZ128" s="190"/>
      <c r="CA128" s="190"/>
      <c r="CB128" s="190"/>
      <c r="CC128" s="190"/>
      <c r="CD128" s="190"/>
      <c r="CE128" s="190"/>
      <c r="CF128" s="190"/>
      <c r="CG128" s="190"/>
      <c r="CH128" s="190"/>
      <c r="CI128" s="190"/>
      <c r="CJ128" s="190"/>
      <c r="CK128" s="190"/>
      <c r="CL128" s="190"/>
      <c r="CM128" s="190"/>
      <c r="CN128" s="190"/>
      <c r="CO128" s="190"/>
      <c r="CP128" s="190"/>
      <c r="CQ128" s="190"/>
      <c r="CR128" s="190"/>
      <c r="CS128" s="190"/>
      <c r="CT128" s="190"/>
      <c r="CU128" s="190"/>
      <c r="CV128" s="190"/>
      <c r="CW128" s="190"/>
      <c r="CX128" s="190"/>
      <c r="CY128" s="190"/>
      <c r="CZ128" s="190"/>
      <c r="DA128" s="190"/>
      <c r="DB128" s="190"/>
      <c r="DC128" s="190"/>
      <c r="DD128" s="190"/>
      <c r="DE128" s="190"/>
      <c r="DF128" s="190"/>
      <c r="DG128" s="190"/>
      <c r="DH128" s="190"/>
      <c r="DI128" s="190"/>
      <c r="DJ128" s="190"/>
      <c r="DK128" s="190"/>
      <c r="DL128" s="190"/>
      <c r="DM128" s="190"/>
      <c r="DN128" s="190"/>
      <c r="DO128" s="190"/>
      <c r="DP128" s="190"/>
      <c r="DQ128" s="190"/>
      <c r="DR128" s="190"/>
      <c r="DS128" s="190"/>
      <c r="DT128" s="190"/>
      <c r="DU128" s="190"/>
      <c r="DV128" s="190"/>
      <c r="DW128" s="190"/>
      <c r="DX128" s="190"/>
      <c r="DY128" s="190"/>
      <c r="DZ128" s="190"/>
      <c r="EA128" s="190"/>
      <c r="EB128" s="190"/>
      <c r="EC128" s="190"/>
      <c r="ED128" s="190"/>
      <c r="EE128" s="190"/>
      <c r="EF128" s="190"/>
      <c r="EG128" s="190"/>
      <c r="EH128" s="190"/>
      <c r="EI128" s="190"/>
      <c r="EJ128" s="190"/>
      <c r="EK128" s="190"/>
      <c r="EL128" s="190"/>
      <c r="EM128" s="190"/>
      <c r="EN128" s="190"/>
      <c r="EO128" s="190"/>
      <c r="EP128" s="190"/>
      <c r="EQ128" s="190"/>
      <c r="ER128" s="190"/>
      <c r="ES128" s="190"/>
      <c r="ET128" s="190"/>
      <c r="EU128" s="190"/>
      <c r="EV128" s="190"/>
      <c r="EW128" s="190"/>
      <c r="EX128" s="190"/>
      <c r="EY128" s="190"/>
      <c r="EZ128" s="190"/>
      <c r="FA128" s="190"/>
      <c r="FB128" s="190"/>
      <c r="FC128" s="190"/>
      <c r="FD128" s="190"/>
      <c r="FE128" s="190"/>
      <c r="FF128" s="190"/>
      <c r="FG128" s="190"/>
      <c r="FH128" s="190"/>
      <c r="FI128" s="190"/>
      <c r="FJ128" s="190"/>
      <c r="FK128" s="190"/>
      <c r="FL128" s="190"/>
      <c r="FM128" s="190"/>
      <c r="FN128" s="190"/>
      <c r="FO128" s="190"/>
      <c r="FP128" s="190"/>
      <c r="FQ128" s="190"/>
      <c r="FR128" s="190"/>
      <c r="FS128" s="190"/>
      <c r="FT128" s="190"/>
      <c r="FU128" s="190"/>
      <c r="FV128" s="190"/>
      <c r="FW128" s="190"/>
      <c r="FX128" s="190"/>
      <c r="FY128" s="190"/>
      <c r="FZ128" s="190"/>
      <c r="GA128" s="190"/>
      <c r="GB128" s="190"/>
      <c r="GC128" s="190"/>
      <c r="GD128" s="190"/>
      <c r="GE128" s="190"/>
      <c r="GF128" s="190"/>
      <c r="GG128" s="190"/>
      <c r="GH128" s="190"/>
      <c r="GI128" s="190"/>
      <c r="GJ128" s="190"/>
      <c r="GK128" s="190"/>
      <c r="GL128" s="190"/>
      <c r="GM128" s="190"/>
      <c r="GN128" s="190"/>
      <c r="GO128" s="190"/>
      <c r="GP128" s="190"/>
      <c r="GQ128" s="190"/>
      <c r="GR128" s="190"/>
      <c r="GS128" s="190"/>
      <c r="GT128" s="190"/>
      <c r="GU128" s="190"/>
      <c r="GV128" s="190"/>
      <c r="GW128" s="190"/>
      <c r="GX128" s="190"/>
      <c r="GY128" s="190"/>
      <c r="GZ128" s="190"/>
      <c r="HA128" s="190"/>
      <c r="HB128" s="190"/>
      <c r="HC128" s="190"/>
      <c r="HD128" s="190"/>
      <c r="HE128" s="190"/>
      <c r="HF128" s="190"/>
      <c r="HG128" s="190"/>
      <c r="HH128" s="190"/>
      <c r="HI128" s="190"/>
      <c r="HJ128" s="190"/>
      <c r="HK128" s="190"/>
      <c r="HL128" s="190"/>
      <c r="HM128" s="190"/>
      <c r="HN128" s="190"/>
      <c r="HO128" s="190"/>
      <c r="HP128" s="190"/>
      <c r="HQ128" s="190"/>
      <c r="HR128" s="190"/>
      <c r="HS128" s="190"/>
      <c r="HT128" s="190"/>
      <c r="HU128" s="190"/>
      <c r="HV128" s="190"/>
      <c r="HW128" s="190"/>
      <c r="HX128" s="190"/>
      <c r="HY128" s="190"/>
      <c r="HZ128" s="190"/>
      <c r="IA128" s="190"/>
      <c r="IB128" s="190"/>
    </row>
    <row r="129" spans="1:236" s="137" customFormat="1" ht="14.25">
      <c r="A129" s="190"/>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0"/>
      <c r="AX129" s="190"/>
      <c r="AY129" s="190"/>
      <c r="AZ129" s="190"/>
      <c r="BA129" s="190"/>
      <c r="BB129" s="190"/>
      <c r="BC129" s="190"/>
      <c r="BD129" s="190"/>
      <c r="BE129" s="190"/>
      <c r="BF129" s="190"/>
      <c r="BG129" s="190"/>
      <c r="BH129" s="190"/>
      <c r="BI129" s="190"/>
      <c r="BJ129" s="190"/>
      <c r="BK129" s="190"/>
      <c r="BL129" s="190"/>
      <c r="BM129" s="190"/>
      <c r="BN129" s="190"/>
      <c r="BO129" s="190"/>
      <c r="BP129" s="190"/>
      <c r="BQ129" s="190"/>
      <c r="BR129" s="190"/>
      <c r="BS129" s="190"/>
      <c r="BT129" s="190"/>
      <c r="BU129" s="190"/>
      <c r="BV129" s="190"/>
      <c r="BW129" s="190"/>
      <c r="BX129" s="190"/>
      <c r="BY129" s="190"/>
      <c r="BZ129" s="190"/>
      <c r="CA129" s="190"/>
      <c r="CB129" s="190"/>
      <c r="CC129" s="190"/>
      <c r="CD129" s="190"/>
      <c r="CE129" s="190"/>
      <c r="CF129" s="190"/>
      <c r="CG129" s="190"/>
      <c r="CH129" s="190"/>
      <c r="CI129" s="190"/>
      <c r="CJ129" s="190"/>
      <c r="CK129" s="190"/>
      <c r="CL129" s="190"/>
      <c r="CM129" s="190"/>
      <c r="CN129" s="190"/>
      <c r="CO129" s="190"/>
      <c r="CP129" s="190"/>
      <c r="CQ129" s="190"/>
      <c r="CR129" s="190"/>
      <c r="CS129" s="190"/>
      <c r="CT129" s="190"/>
      <c r="CU129" s="190"/>
      <c r="CV129" s="190"/>
      <c r="CW129" s="190"/>
      <c r="CX129" s="190"/>
      <c r="CY129" s="190"/>
      <c r="CZ129" s="190"/>
      <c r="DA129" s="190"/>
      <c r="DB129" s="190"/>
      <c r="DC129" s="190"/>
      <c r="DD129" s="190"/>
      <c r="DE129" s="190"/>
      <c r="DF129" s="190"/>
      <c r="DG129" s="190"/>
      <c r="DH129" s="190"/>
      <c r="DI129" s="190"/>
      <c r="DJ129" s="190"/>
      <c r="DK129" s="190"/>
      <c r="DL129" s="190"/>
      <c r="DM129" s="190"/>
      <c r="DN129" s="190"/>
      <c r="DO129" s="190"/>
      <c r="DP129" s="190"/>
      <c r="DQ129" s="190"/>
      <c r="DR129" s="190"/>
      <c r="DS129" s="190"/>
      <c r="DT129" s="190"/>
      <c r="DU129" s="190"/>
      <c r="DV129" s="190"/>
      <c r="DW129" s="190"/>
      <c r="DX129" s="190"/>
      <c r="DY129" s="190"/>
      <c r="DZ129" s="190"/>
      <c r="EA129" s="190"/>
      <c r="EB129" s="190"/>
      <c r="EC129" s="190"/>
      <c r="ED129" s="190"/>
      <c r="EE129" s="190"/>
      <c r="EF129" s="190"/>
      <c r="EG129" s="190"/>
      <c r="EH129" s="190"/>
      <c r="EI129" s="190"/>
      <c r="EJ129" s="190"/>
      <c r="EK129" s="190"/>
      <c r="EL129" s="190"/>
      <c r="EM129" s="190"/>
      <c r="EN129" s="190"/>
      <c r="EO129" s="190"/>
      <c r="EP129" s="190"/>
      <c r="EQ129" s="190"/>
      <c r="ER129" s="190"/>
      <c r="ES129" s="190"/>
      <c r="ET129" s="190"/>
      <c r="EU129" s="190"/>
      <c r="EV129" s="190"/>
      <c r="EW129" s="190"/>
      <c r="EX129" s="190"/>
      <c r="EY129" s="190"/>
      <c r="EZ129" s="190"/>
      <c r="FA129" s="190"/>
      <c r="FB129" s="190"/>
      <c r="FC129" s="190"/>
      <c r="FD129" s="190"/>
      <c r="FE129" s="190"/>
      <c r="FF129" s="190"/>
      <c r="FG129" s="190"/>
      <c r="FH129" s="190"/>
      <c r="FI129" s="190"/>
      <c r="FJ129" s="190"/>
      <c r="FK129" s="190"/>
      <c r="FL129" s="190"/>
      <c r="FM129" s="190"/>
      <c r="FN129" s="190"/>
      <c r="FO129" s="190"/>
      <c r="FP129" s="190"/>
      <c r="FQ129" s="190"/>
      <c r="FR129" s="190"/>
      <c r="FS129" s="190"/>
      <c r="FT129" s="190"/>
      <c r="FU129" s="190"/>
      <c r="FV129" s="190"/>
      <c r="FW129" s="190"/>
      <c r="FX129" s="190"/>
      <c r="FY129" s="190"/>
      <c r="FZ129" s="190"/>
      <c r="GA129" s="190"/>
      <c r="GB129" s="190"/>
      <c r="GC129" s="190"/>
      <c r="GD129" s="190"/>
      <c r="GE129" s="190"/>
      <c r="GF129" s="190"/>
      <c r="GG129" s="190"/>
      <c r="GH129" s="190"/>
      <c r="GI129" s="190"/>
      <c r="GJ129" s="190"/>
      <c r="GK129" s="190"/>
      <c r="GL129" s="190"/>
      <c r="GM129" s="190"/>
      <c r="GN129" s="190"/>
      <c r="GO129" s="190"/>
      <c r="GP129" s="190"/>
      <c r="GQ129" s="190"/>
      <c r="GR129" s="190"/>
      <c r="GS129" s="190"/>
      <c r="GT129" s="190"/>
      <c r="GU129" s="190"/>
      <c r="GV129" s="190"/>
      <c r="GW129" s="190"/>
      <c r="GX129" s="190"/>
      <c r="GY129" s="190"/>
      <c r="GZ129" s="190"/>
      <c r="HA129" s="190"/>
      <c r="HB129" s="190"/>
      <c r="HC129" s="190"/>
      <c r="HD129" s="190"/>
      <c r="HE129" s="190"/>
      <c r="HF129" s="190"/>
      <c r="HG129" s="190"/>
      <c r="HH129" s="190"/>
      <c r="HI129" s="190"/>
      <c r="HJ129" s="190"/>
      <c r="HK129" s="190"/>
      <c r="HL129" s="190"/>
      <c r="HM129" s="190"/>
      <c r="HN129" s="190"/>
      <c r="HO129" s="190"/>
      <c r="HP129" s="190"/>
      <c r="HQ129" s="190"/>
      <c r="HR129" s="190"/>
      <c r="HS129" s="190"/>
      <c r="HT129" s="190"/>
      <c r="HU129" s="190"/>
      <c r="HV129" s="190"/>
      <c r="HW129" s="190"/>
      <c r="HX129" s="190"/>
      <c r="HY129" s="190"/>
      <c r="HZ129" s="190"/>
      <c r="IA129" s="190"/>
      <c r="IB129" s="190"/>
    </row>
    <row r="130" spans="1:236" s="137" customFormat="1" ht="14.25">
      <c r="A130" s="190"/>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c r="AP130" s="190"/>
      <c r="AQ130" s="190"/>
      <c r="AR130" s="190"/>
      <c r="AS130" s="190"/>
      <c r="AT130" s="190"/>
      <c r="AU130" s="190"/>
      <c r="AV130" s="190"/>
      <c r="AW130" s="190"/>
      <c r="AX130" s="190"/>
      <c r="AY130" s="190"/>
      <c r="AZ130" s="190"/>
      <c r="BA130" s="190"/>
      <c r="BB130" s="190"/>
      <c r="BC130" s="190"/>
      <c r="BD130" s="190"/>
      <c r="BE130" s="190"/>
      <c r="BF130" s="190"/>
      <c r="BG130" s="190"/>
      <c r="BH130" s="190"/>
      <c r="BI130" s="190"/>
      <c r="BJ130" s="190"/>
      <c r="BK130" s="190"/>
      <c r="BL130" s="190"/>
      <c r="BM130" s="190"/>
      <c r="BN130" s="190"/>
      <c r="BO130" s="190"/>
      <c r="BP130" s="190"/>
      <c r="BQ130" s="190"/>
      <c r="BR130" s="190"/>
      <c r="BS130" s="190"/>
      <c r="BT130" s="190"/>
      <c r="BU130" s="190"/>
      <c r="BV130" s="190"/>
      <c r="BW130" s="190"/>
      <c r="BX130" s="190"/>
      <c r="BY130" s="190"/>
      <c r="BZ130" s="190"/>
      <c r="CA130" s="190"/>
      <c r="CB130" s="190"/>
      <c r="CC130" s="190"/>
      <c r="CD130" s="190"/>
      <c r="CE130" s="190"/>
      <c r="CF130" s="190"/>
      <c r="CG130" s="190"/>
      <c r="CH130" s="190"/>
      <c r="CI130" s="190"/>
      <c r="CJ130" s="190"/>
      <c r="CK130" s="190"/>
      <c r="CL130" s="190"/>
      <c r="CM130" s="190"/>
      <c r="CN130" s="190"/>
      <c r="CO130" s="190"/>
      <c r="CP130" s="190"/>
      <c r="CQ130" s="190"/>
      <c r="CR130" s="190"/>
      <c r="CS130" s="190"/>
      <c r="CT130" s="190"/>
      <c r="CU130" s="190"/>
      <c r="CV130" s="190"/>
      <c r="CW130" s="190"/>
      <c r="CX130" s="190"/>
      <c r="CY130" s="190"/>
      <c r="CZ130" s="190"/>
      <c r="DA130" s="190"/>
      <c r="DB130" s="190"/>
      <c r="DC130" s="190"/>
      <c r="DD130" s="190"/>
      <c r="DE130" s="190"/>
      <c r="DF130" s="190"/>
      <c r="DG130" s="190"/>
      <c r="DH130" s="190"/>
      <c r="DI130" s="190"/>
      <c r="DJ130" s="190"/>
      <c r="DK130" s="190"/>
      <c r="DL130" s="190"/>
      <c r="DM130" s="190"/>
      <c r="DN130" s="190"/>
      <c r="DO130" s="190"/>
      <c r="DP130" s="190"/>
      <c r="DQ130" s="190"/>
      <c r="DR130" s="190"/>
      <c r="DS130" s="190"/>
      <c r="DT130" s="190"/>
      <c r="DU130" s="190"/>
      <c r="DV130" s="190"/>
      <c r="DW130" s="190"/>
      <c r="DX130" s="190"/>
      <c r="DY130" s="190"/>
      <c r="DZ130" s="190"/>
      <c r="EA130" s="190"/>
      <c r="EB130" s="190"/>
      <c r="EC130" s="190"/>
      <c r="ED130" s="190"/>
      <c r="EE130" s="190"/>
      <c r="EF130" s="190"/>
      <c r="EG130" s="190"/>
      <c r="EH130" s="190"/>
      <c r="EI130" s="190"/>
      <c r="EJ130" s="190"/>
      <c r="EK130" s="190"/>
      <c r="EL130" s="190"/>
      <c r="EM130" s="190"/>
      <c r="EN130" s="190"/>
      <c r="EO130" s="190"/>
      <c r="EP130" s="190"/>
      <c r="EQ130" s="190"/>
      <c r="ER130" s="190"/>
      <c r="ES130" s="190"/>
      <c r="ET130" s="190"/>
      <c r="EU130" s="190"/>
      <c r="EV130" s="190"/>
      <c r="EW130" s="190"/>
      <c r="EX130" s="190"/>
      <c r="EY130" s="190"/>
      <c r="EZ130" s="190"/>
      <c r="FA130" s="190"/>
      <c r="FB130" s="190"/>
      <c r="FC130" s="190"/>
      <c r="FD130" s="190"/>
      <c r="FE130" s="190"/>
      <c r="FF130" s="190"/>
      <c r="FG130" s="190"/>
      <c r="FH130" s="190"/>
      <c r="FI130" s="190"/>
      <c r="FJ130" s="190"/>
      <c r="FK130" s="190"/>
      <c r="FL130" s="190"/>
      <c r="FM130" s="190"/>
      <c r="FN130" s="190"/>
      <c r="FO130" s="190"/>
      <c r="FP130" s="190"/>
      <c r="FQ130" s="190"/>
      <c r="FR130" s="190"/>
      <c r="FS130" s="190"/>
      <c r="FT130" s="190"/>
      <c r="FU130" s="190"/>
      <c r="FV130" s="190"/>
      <c r="FW130" s="190"/>
      <c r="FX130" s="190"/>
      <c r="FY130" s="190"/>
      <c r="FZ130" s="190"/>
      <c r="GA130" s="190"/>
      <c r="GB130" s="190"/>
      <c r="GC130" s="190"/>
      <c r="GD130" s="190"/>
      <c r="GE130" s="190"/>
      <c r="GF130" s="190"/>
      <c r="GG130" s="190"/>
      <c r="GH130" s="190"/>
      <c r="GI130" s="190"/>
      <c r="GJ130" s="190"/>
      <c r="GK130" s="190"/>
      <c r="GL130" s="190"/>
      <c r="GM130" s="190"/>
      <c r="GN130" s="190"/>
      <c r="GO130" s="190"/>
      <c r="GP130" s="190"/>
      <c r="GQ130" s="190"/>
      <c r="GR130" s="190"/>
      <c r="GS130" s="190"/>
      <c r="GT130" s="190"/>
      <c r="GU130" s="190"/>
      <c r="GV130" s="190"/>
      <c r="GW130" s="190"/>
      <c r="GX130" s="190"/>
      <c r="GY130" s="190"/>
      <c r="GZ130" s="190"/>
      <c r="HA130" s="190"/>
      <c r="HB130" s="190"/>
      <c r="HC130" s="190"/>
      <c r="HD130" s="190"/>
      <c r="HE130" s="190"/>
      <c r="HF130" s="190"/>
      <c r="HG130" s="190"/>
      <c r="HH130" s="190"/>
      <c r="HI130" s="190"/>
      <c r="HJ130" s="190"/>
      <c r="HK130" s="190"/>
      <c r="HL130" s="190"/>
      <c r="HM130" s="190"/>
      <c r="HN130" s="190"/>
      <c r="HO130" s="190"/>
      <c r="HP130" s="190"/>
      <c r="HQ130" s="190"/>
      <c r="HR130" s="190"/>
      <c r="HS130" s="190"/>
      <c r="HT130" s="190"/>
      <c r="HU130" s="190"/>
      <c r="HV130" s="190"/>
      <c r="HW130" s="190"/>
      <c r="HX130" s="190"/>
      <c r="HY130" s="190"/>
      <c r="HZ130" s="190"/>
      <c r="IA130" s="190"/>
      <c r="IB130" s="190"/>
    </row>
    <row r="131" spans="1:236" s="137" customFormat="1" ht="14.25">
      <c r="A131" s="190"/>
      <c r="B131" s="190"/>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c r="AP131" s="190"/>
      <c r="AQ131" s="190"/>
      <c r="AR131" s="190"/>
      <c r="AS131" s="190"/>
      <c r="AT131" s="190"/>
      <c r="AU131" s="190"/>
      <c r="AV131" s="190"/>
      <c r="AW131" s="190"/>
      <c r="AX131" s="190"/>
      <c r="AY131" s="190"/>
      <c r="AZ131" s="190"/>
      <c r="BA131" s="190"/>
      <c r="BB131" s="190"/>
      <c r="BC131" s="190"/>
      <c r="BD131" s="190"/>
      <c r="BE131" s="190"/>
      <c r="BF131" s="190"/>
      <c r="BG131" s="190"/>
      <c r="BH131" s="190"/>
      <c r="BI131" s="190"/>
      <c r="BJ131" s="190"/>
      <c r="BK131" s="190"/>
      <c r="BL131" s="190"/>
      <c r="BM131" s="190"/>
      <c r="BN131" s="190"/>
      <c r="BO131" s="190"/>
      <c r="BP131" s="190"/>
      <c r="BQ131" s="190"/>
      <c r="BR131" s="190"/>
      <c r="BS131" s="190"/>
      <c r="BT131" s="190"/>
      <c r="BU131" s="190"/>
      <c r="BV131" s="190"/>
      <c r="BW131" s="190"/>
      <c r="BX131" s="190"/>
      <c r="BY131" s="190"/>
      <c r="BZ131" s="190"/>
      <c r="CA131" s="190"/>
      <c r="CB131" s="190"/>
      <c r="CC131" s="190"/>
      <c r="CD131" s="190"/>
      <c r="CE131" s="190"/>
      <c r="CF131" s="190"/>
      <c r="CG131" s="190"/>
      <c r="CH131" s="190"/>
      <c r="CI131" s="190"/>
      <c r="CJ131" s="190"/>
      <c r="CK131" s="190"/>
      <c r="CL131" s="190"/>
      <c r="CM131" s="190"/>
      <c r="CN131" s="190"/>
      <c r="CO131" s="190"/>
      <c r="CP131" s="190"/>
      <c r="CQ131" s="190"/>
      <c r="CR131" s="190"/>
      <c r="CS131" s="190"/>
      <c r="CT131" s="190"/>
      <c r="CU131" s="190"/>
      <c r="CV131" s="190"/>
      <c r="CW131" s="190"/>
      <c r="CX131" s="190"/>
      <c r="CY131" s="190"/>
      <c r="CZ131" s="190"/>
      <c r="DA131" s="190"/>
      <c r="DB131" s="190"/>
      <c r="DC131" s="190"/>
      <c r="DD131" s="190"/>
      <c r="DE131" s="190"/>
      <c r="DF131" s="190"/>
      <c r="DG131" s="190"/>
      <c r="DH131" s="190"/>
      <c r="DI131" s="190"/>
      <c r="DJ131" s="190"/>
      <c r="DK131" s="190"/>
      <c r="DL131" s="190"/>
      <c r="DM131" s="190"/>
      <c r="DN131" s="190"/>
      <c r="DO131" s="190"/>
      <c r="DP131" s="190"/>
      <c r="DQ131" s="190"/>
      <c r="DR131" s="190"/>
      <c r="DS131" s="190"/>
      <c r="DT131" s="190"/>
      <c r="DU131" s="190"/>
      <c r="DV131" s="190"/>
      <c r="DW131" s="190"/>
      <c r="DX131" s="190"/>
      <c r="DY131" s="190"/>
      <c r="DZ131" s="190"/>
      <c r="EA131" s="190"/>
      <c r="EB131" s="190"/>
      <c r="EC131" s="190"/>
      <c r="ED131" s="190"/>
      <c r="EE131" s="190"/>
      <c r="EF131" s="190"/>
      <c r="EG131" s="190"/>
      <c r="EH131" s="190"/>
      <c r="EI131" s="190"/>
      <c r="EJ131" s="190"/>
      <c r="EK131" s="190"/>
      <c r="EL131" s="190"/>
      <c r="EM131" s="190"/>
      <c r="EN131" s="190"/>
      <c r="EO131" s="190"/>
      <c r="EP131" s="190"/>
      <c r="EQ131" s="190"/>
      <c r="ER131" s="190"/>
      <c r="ES131" s="190"/>
      <c r="ET131" s="190"/>
      <c r="EU131" s="190"/>
      <c r="EV131" s="190"/>
      <c r="EW131" s="190"/>
      <c r="EX131" s="190"/>
      <c r="EY131" s="190"/>
      <c r="EZ131" s="190"/>
      <c r="FA131" s="190"/>
      <c r="FB131" s="190"/>
      <c r="FC131" s="190"/>
      <c r="FD131" s="190"/>
      <c r="FE131" s="190"/>
      <c r="FF131" s="190"/>
      <c r="FG131" s="190"/>
      <c r="FH131" s="190"/>
      <c r="FI131" s="190"/>
      <c r="FJ131" s="190"/>
      <c r="FK131" s="190"/>
      <c r="FL131" s="190"/>
      <c r="FM131" s="190"/>
      <c r="FN131" s="190"/>
      <c r="FO131" s="190"/>
      <c r="FP131" s="190"/>
      <c r="FQ131" s="190"/>
      <c r="FR131" s="190"/>
      <c r="FS131" s="190"/>
      <c r="FT131" s="190"/>
      <c r="FU131" s="190"/>
      <c r="FV131" s="190"/>
      <c r="FW131" s="190"/>
      <c r="FX131" s="190"/>
      <c r="FY131" s="190"/>
      <c r="FZ131" s="190"/>
      <c r="GA131" s="190"/>
      <c r="GB131" s="190"/>
      <c r="GC131" s="190"/>
      <c r="GD131" s="190"/>
      <c r="GE131" s="190"/>
      <c r="GF131" s="190"/>
      <c r="GG131" s="190"/>
      <c r="GH131" s="190"/>
      <c r="GI131" s="190"/>
      <c r="GJ131" s="190"/>
      <c r="GK131" s="190"/>
      <c r="GL131" s="190"/>
      <c r="GM131" s="190"/>
      <c r="GN131" s="190"/>
      <c r="GO131" s="190"/>
      <c r="GP131" s="190"/>
      <c r="GQ131" s="190"/>
      <c r="GR131" s="190"/>
      <c r="GS131" s="190"/>
      <c r="GT131" s="190"/>
      <c r="GU131" s="190"/>
      <c r="GV131" s="190"/>
      <c r="GW131" s="190"/>
      <c r="GX131" s="190"/>
      <c r="GY131" s="190"/>
      <c r="GZ131" s="190"/>
      <c r="HA131" s="190"/>
      <c r="HB131" s="190"/>
      <c r="HC131" s="190"/>
      <c r="HD131" s="190"/>
      <c r="HE131" s="190"/>
      <c r="HF131" s="190"/>
      <c r="HG131" s="190"/>
      <c r="HH131" s="190"/>
      <c r="HI131" s="190"/>
      <c r="HJ131" s="190"/>
      <c r="HK131" s="190"/>
      <c r="HL131" s="190"/>
      <c r="HM131" s="190"/>
      <c r="HN131" s="190"/>
      <c r="HO131" s="190"/>
      <c r="HP131" s="190"/>
      <c r="HQ131" s="190"/>
      <c r="HR131" s="190"/>
      <c r="HS131" s="190"/>
      <c r="HT131" s="190"/>
      <c r="HU131" s="190"/>
      <c r="HV131" s="190"/>
      <c r="HW131" s="190"/>
      <c r="HX131" s="190"/>
      <c r="HY131" s="190"/>
      <c r="HZ131" s="190"/>
      <c r="IA131" s="190"/>
      <c r="IB131" s="190"/>
    </row>
    <row r="132" spans="1:236" s="137" customFormat="1" ht="14.25">
      <c r="A132" s="190"/>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190"/>
      <c r="AQ132" s="190"/>
      <c r="AR132" s="190"/>
      <c r="AS132" s="190"/>
      <c r="AT132" s="190"/>
      <c r="AU132" s="190"/>
      <c r="AV132" s="190"/>
      <c r="AW132" s="190"/>
      <c r="AX132" s="190"/>
      <c r="AY132" s="190"/>
      <c r="AZ132" s="190"/>
      <c r="BA132" s="190"/>
      <c r="BB132" s="190"/>
      <c r="BC132" s="190"/>
      <c r="BD132" s="190"/>
      <c r="BE132" s="190"/>
      <c r="BF132" s="190"/>
      <c r="BG132" s="190"/>
      <c r="BH132" s="190"/>
      <c r="BI132" s="190"/>
      <c r="BJ132" s="190"/>
      <c r="BK132" s="190"/>
      <c r="BL132" s="190"/>
      <c r="BM132" s="190"/>
      <c r="BN132" s="190"/>
      <c r="BO132" s="190"/>
      <c r="BP132" s="190"/>
      <c r="BQ132" s="190"/>
      <c r="BR132" s="190"/>
      <c r="BS132" s="190"/>
      <c r="BT132" s="190"/>
      <c r="BU132" s="190"/>
      <c r="BV132" s="190"/>
      <c r="BW132" s="190"/>
      <c r="BX132" s="190"/>
      <c r="BY132" s="190"/>
      <c r="BZ132" s="190"/>
      <c r="CA132" s="190"/>
      <c r="CB132" s="190"/>
      <c r="CC132" s="190"/>
      <c r="CD132" s="190"/>
      <c r="CE132" s="190"/>
      <c r="CF132" s="190"/>
      <c r="CG132" s="190"/>
      <c r="CH132" s="190"/>
      <c r="CI132" s="190"/>
      <c r="CJ132" s="190"/>
      <c r="CK132" s="190"/>
      <c r="CL132" s="190"/>
      <c r="CM132" s="190"/>
      <c r="CN132" s="190"/>
      <c r="CO132" s="190"/>
      <c r="CP132" s="190"/>
      <c r="CQ132" s="190"/>
      <c r="CR132" s="190"/>
      <c r="CS132" s="190"/>
      <c r="CT132" s="190"/>
      <c r="CU132" s="190"/>
      <c r="CV132" s="190"/>
      <c r="CW132" s="190"/>
      <c r="CX132" s="190"/>
      <c r="CY132" s="190"/>
      <c r="CZ132" s="190"/>
      <c r="DA132" s="190"/>
      <c r="DB132" s="190"/>
      <c r="DC132" s="190"/>
      <c r="DD132" s="190"/>
      <c r="DE132" s="190"/>
      <c r="DF132" s="190"/>
      <c r="DG132" s="190"/>
      <c r="DH132" s="190"/>
      <c r="DI132" s="190"/>
      <c r="DJ132" s="190"/>
      <c r="DK132" s="190"/>
      <c r="DL132" s="190"/>
      <c r="DM132" s="190"/>
      <c r="DN132" s="190"/>
      <c r="DO132" s="190"/>
      <c r="DP132" s="190"/>
      <c r="DQ132" s="190"/>
      <c r="DR132" s="190"/>
      <c r="DS132" s="190"/>
      <c r="DT132" s="190"/>
      <c r="DU132" s="190"/>
      <c r="DV132" s="190"/>
      <c r="DW132" s="190"/>
      <c r="DX132" s="190"/>
      <c r="DY132" s="190"/>
      <c r="DZ132" s="190"/>
      <c r="EA132" s="190"/>
      <c r="EB132" s="190"/>
      <c r="EC132" s="190"/>
      <c r="ED132" s="190"/>
      <c r="EE132" s="190"/>
      <c r="EF132" s="190"/>
      <c r="EG132" s="190"/>
      <c r="EH132" s="190"/>
      <c r="EI132" s="190"/>
      <c r="EJ132" s="190"/>
      <c r="EK132" s="190"/>
      <c r="EL132" s="190"/>
      <c r="EM132" s="190"/>
      <c r="EN132" s="190"/>
      <c r="EO132" s="190"/>
      <c r="EP132" s="190"/>
      <c r="EQ132" s="190"/>
      <c r="ER132" s="190"/>
      <c r="ES132" s="190"/>
      <c r="ET132" s="190"/>
      <c r="EU132" s="190"/>
      <c r="EV132" s="190"/>
      <c r="EW132" s="190"/>
      <c r="EX132" s="190"/>
      <c r="EY132" s="190"/>
      <c r="EZ132" s="190"/>
      <c r="FA132" s="190"/>
      <c r="FB132" s="190"/>
      <c r="FC132" s="190"/>
      <c r="FD132" s="190"/>
      <c r="FE132" s="190"/>
      <c r="FF132" s="190"/>
      <c r="FG132" s="190"/>
      <c r="FH132" s="190"/>
      <c r="FI132" s="190"/>
      <c r="FJ132" s="190"/>
      <c r="FK132" s="190"/>
      <c r="FL132" s="190"/>
      <c r="FM132" s="190"/>
      <c r="FN132" s="190"/>
      <c r="FO132" s="190"/>
      <c r="FP132" s="190"/>
      <c r="FQ132" s="190"/>
      <c r="FR132" s="190"/>
      <c r="FS132" s="190"/>
      <c r="FT132" s="190"/>
      <c r="FU132" s="190"/>
      <c r="FV132" s="190"/>
      <c r="FW132" s="190"/>
      <c r="FX132" s="190"/>
      <c r="FY132" s="190"/>
      <c r="FZ132" s="190"/>
      <c r="GA132" s="190"/>
      <c r="GB132" s="190"/>
      <c r="GC132" s="190"/>
      <c r="GD132" s="190"/>
      <c r="GE132" s="190"/>
      <c r="GF132" s="190"/>
      <c r="GG132" s="190"/>
      <c r="GH132" s="190"/>
      <c r="GI132" s="190"/>
      <c r="GJ132" s="190"/>
      <c r="GK132" s="190"/>
      <c r="GL132" s="190"/>
      <c r="GM132" s="190"/>
      <c r="GN132" s="190"/>
      <c r="GO132" s="190"/>
      <c r="GP132" s="190"/>
      <c r="GQ132" s="190"/>
      <c r="GR132" s="190"/>
      <c r="GS132" s="190"/>
      <c r="GT132" s="190"/>
      <c r="GU132" s="190"/>
      <c r="GV132" s="190"/>
      <c r="GW132" s="190"/>
      <c r="GX132" s="190"/>
      <c r="GY132" s="190"/>
      <c r="GZ132" s="190"/>
      <c r="HA132" s="190"/>
      <c r="HB132" s="190"/>
      <c r="HC132" s="190"/>
      <c r="HD132" s="190"/>
      <c r="HE132" s="190"/>
      <c r="HF132" s="190"/>
      <c r="HG132" s="190"/>
      <c r="HH132" s="190"/>
      <c r="HI132" s="190"/>
      <c r="HJ132" s="190"/>
      <c r="HK132" s="190"/>
      <c r="HL132" s="190"/>
      <c r="HM132" s="190"/>
      <c r="HN132" s="190"/>
      <c r="HO132" s="190"/>
      <c r="HP132" s="190"/>
      <c r="HQ132" s="190"/>
      <c r="HR132" s="190"/>
      <c r="HS132" s="190"/>
      <c r="HT132" s="190"/>
      <c r="HU132" s="190"/>
      <c r="HV132" s="190"/>
      <c r="HW132" s="190"/>
      <c r="HX132" s="190"/>
      <c r="HY132" s="190"/>
      <c r="HZ132" s="190"/>
      <c r="IA132" s="190"/>
      <c r="IB132" s="190"/>
    </row>
    <row r="133" spans="1:236" s="137" customFormat="1" ht="14.25">
      <c r="A133" s="190"/>
      <c r="B133" s="190"/>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c r="BC133" s="190"/>
      <c r="BD133" s="190"/>
      <c r="BE133" s="190"/>
      <c r="BF133" s="190"/>
      <c r="BG133" s="190"/>
      <c r="BH133" s="190"/>
      <c r="BI133" s="190"/>
      <c r="BJ133" s="190"/>
      <c r="BK133" s="190"/>
      <c r="BL133" s="190"/>
      <c r="BM133" s="190"/>
      <c r="BN133" s="190"/>
      <c r="BO133" s="190"/>
      <c r="BP133" s="190"/>
      <c r="BQ133" s="190"/>
      <c r="BR133" s="190"/>
      <c r="BS133" s="190"/>
      <c r="BT133" s="190"/>
      <c r="BU133" s="190"/>
      <c r="BV133" s="190"/>
      <c r="BW133" s="190"/>
      <c r="BX133" s="190"/>
      <c r="BY133" s="190"/>
      <c r="BZ133" s="190"/>
      <c r="CA133" s="190"/>
      <c r="CB133" s="190"/>
      <c r="CC133" s="190"/>
      <c r="CD133" s="190"/>
      <c r="CE133" s="190"/>
      <c r="CF133" s="190"/>
      <c r="CG133" s="190"/>
      <c r="CH133" s="190"/>
      <c r="CI133" s="190"/>
      <c r="CJ133" s="190"/>
      <c r="CK133" s="190"/>
      <c r="CL133" s="190"/>
      <c r="CM133" s="190"/>
      <c r="CN133" s="190"/>
      <c r="CO133" s="190"/>
      <c r="CP133" s="190"/>
      <c r="CQ133" s="190"/>
      <c r="CR133" s="190"/>
      <c r="CS133" s="190"/>
      <c r="CT133" s="190"/>
      <c r="CU133" s="190"/>
      <c r="CV133" s="190"/>
      <c r="CW133" s="190"/>
      <c r="CX133" s="190"/>
      <c r="CY133" s="190"/>
      <c r="CZ133" s="190"/>
      <c r="DA133" s="190"/>
      <c r="DB133" s="190"/>
      <c r="DC133" s="190"/>
      <c r="DD133" s="190"/>
      <c r="DE133" s="190"/>
      <c r="DF133" s="190"/>
      <c r="DG133" s="190"/>
      <c r="DH133" s="190"/>
      <c r="DI133" s="190"/>
      <c r="DJ133" s="190"/>
      <c r="DK133" s="190"/>
      <c r="DL133" s="190"/>
      <c r="DM133" s="190"/>
      <c r="DN133" s="190"/>
      <c r="DO133" s="190"/>
      <c r="DP133" s="190"/>
      <c r="DQ133" s="190"/>
      <c r="DR133" s="190"/>
      <c r="DS133" s="190"/>
      <c r="DT133" s="190"/>
      <c r="DU133" s="190"/>
      <c r="DV133" s="190"/>
      <c r="DW133" s="190"/>
      <c r="DX133" s="190"/>
      <c r="DY133" s="190"/>
      <c r="DZ133" s="190"/>
      <c r="EA133" s="190"/>
      <c r="EB133" s="190"/>
      <c r="EC133" s="190"/>
      <c r="ED133" s="190"/>
      <c r="EE133" s="190"/>
      <c r="EF133" s="190"/>
      <c r="EG133" s="190"/>
      <c r="EH133" s="190"/>
      <c r="EI133" s="190"/>
      <c r="EJ133" s="190"/>
      <c r="EK133" s="190"/>
      <c r="EL133" s="190"/>
      <c r="EM133" s="190"/>
      <c r="EN133" s="190"/>
      <c r="EO133" s="190"/>
      <c r="EP133" s="190"/>
      <c r="EQ133" s="190"/>
      <c r="ER133" s="190"/>
      <c r="ES133" s="190"/>
      <c r="ET133" s="190"/>
      <c r="EU133" s="190"/>
      <c r="EV133" s="190"/>
      <c r="EW133" s="190"/>
      <c r="EX133" s="190"/>
      <c r="EY133" s="190"/>
      <c r="EZ133" s="190"/>
      <c r="FA133" s="190"/>
      <c r="FB133" s="190"/>
      <c r="FC133" s="190"/>
      <c r="FD133" s="190"/>
      <c r="FE133" s="190"/>
      <c r="FF133" s="190"/>
      <c r="FG133" s="190"/>
      <c r="FH133" s="190"/>
      <c r="FI133" s="190"/>
      <c r="FJ133" s="190"/>
      <c r="FK133" s="190"/>
      <c r="FL133" s="190"/>
      <c r="FM133" s="190"/>
      <c r="FN133" s="190"/>
      <c r="FO133" s="190"/>
      <c r="FP133" s="190"/>
      <c r="FQ133" s="190"/>
      <c r="FR133" s="190"/>
      <c r="FS133" s="190"/>
      <c r="FT133" s="190"/>
      <c r="FU133" s="190"/>
      <c r="FV133" s="190"/>
      <c r="FW133" s="190"/>
      <c r="FX133" s="190"/>
      <c r="FY133" s="190"/>
      <c r="FZ133" s="190"/>
      <c r="GA133" s="190"/>
      <c r="GB133" s="190"/>
      <c r="GC133" s="190"/>
      <c r="GD133" s="190"/>
      <c r="GE133" s="190"/>
      <c r="GF133" s="190"/>
      <c r="GG133" s="190"/>
      <c r="GH133" s="190"/>
      <c r="GI133" s="190"/>
      <c r="GJ133" s="190"/>
      <c r="GK133" s="190"/>
      <c r="GL133" s="190"/>
      <c r="GM133" s="190"/>
      <c r="GN133" s="190"/>
      <c r="GO133" s="190"/>
      <c r="GP133" s="190"/>
      <c r="GQ133" s="190"/>
      <c r="GR133" s="190"/>
      <c r="GS133" s="190"/>
      <c r="GT133" s="190"/>
      <c r="GU133" s="190"/>
      <c r="GV133" s="190"/>
      <c r="GW133" s="190"/>
      <c r="GX133" s="190"/>
      <c r="GY133" s="190"/>
      <c r="GZ133" s="190"/>
      <c r="HA133" s="190"/>
      <c r="HB133" s="190"/>
      <c r="HC133" s="190"/>
      <c r="HD133" s="190"/>
      <c r="HE133" s="190"/>
      <c r="HF133" s="190"/>
      <c r="HG133" s="190"/>
      <c r="HH133" s="190"/>
      <c r="HI133" s="190"/>
      <c r="HJ133" s="190"/>
      <c r="HK133" s="190"/>
      <c r="HL133" s="190"/>
      <c r="HM133" s="190"/>
      <c r="HN133" s="190"/>
      <c r="HO133" s="190"/>
      <c r="HP133" s="190"/>
      <c r="HQ133" s="190"/>
      <c r="HR133" s="190"/>
      <c r="HS133" s="190"/>
      <c r="HT133" s="190"/>
      <c r="HU133" s="190"/>
      <c r="HV133" s="190"/>
      <c r="HW133" s="190"/>
      <c r="HX133" s="190"/>
      <c r="HY133" s="190"/>
      <c r="HZ133" s="190"/>
      <c r="IA133" s="190"/>
      <c r="IB133" s="190"/>
    </row>
    <row r="134" spans="1:236" s="137" customFormat="1" ht="14.25">
      <c r="A134" s="190"/>
      <c r="B134" s="190"/>
      <c r="C134" s="190"/>
      <c r="D134" s="190"/>
      <c r="E134" s="190"/>
      <c r="F134" s="190"/>
      <c r="G134" s="190"/>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90"/>
      <c r="AP134" s="190"/>
      <c r="AQ134" s="190"/>
      <c r="AR134" s="190"/>
      <c r="AS134" s="190"/>
      <c r="AT134" s="190"/>
      <c r="AU134" s="190"/>
      <c r="AV134" s="190"/>
      <c r="AW134" s="190"/>
      <c r="AX134" s="190"/>
      <c r="AY134" s="190"/>
      <c r="AZ134" s="190"/>
      <c r="BA134" s="190"/>
      <c r="BB134" s="190"/>
      <c r="BC134" s="190"/>
      <c r="BD134" s="190"/>
      <c r="BE134" s="190"/>
      <c r="BF134" s="190"/>
      <c r="BG134" s="190"/>
      <c r="BH134" s="190"/>
      <c r="BI134" s="190"/>
      <c r="BJ134" s="190"/>
      <c r="BK134" s="190"/>
      <c r="BL134" s="190"/>
      <c r="BM134" s="190"/>
      <c r="BN134" s="190"/>
      <c r="BO134" s="190"/>
      <c r="BP134" s="190"/>
      <c r="BQ134" s="190"/>
      <c r="BR134" s="190"/>
      <c r="BS134" s="190"/>
      <c r="BT134" s="190"/>
      <c r="BU134" s="190"/>
      <c r="BV134" s="190"/>
      <c r="BW134" s="190"/>
      <c r="BX134" s="190"/>
      <c r="BY134" s="190"/>
      <c r="BZ134" s="190"/>
      <c r="CA134" s="190"/>
      <c r="CB134" s="190"/>
      <c r="CC134" s="190"/>
      <c r="CD134" s="190"/>
      <c r="CE134" s="190"/>
      <c r="CF134" s="190"/>
      <c r="CG134" s="190"/>
      <c r="CH134" s="190"/>
      <c r="CI134" s="190"/>
      <c r="CJ134" s="190"/>
      <c r="CK134" s="190"/>
      <c r="CL134" s="190"/>
      <c r="CM134" s="190"/>
      <c r="CN134" s="190"/>
      <c r="CO134" s="190"/>
      <c r="CP134" s="190"/>
      <c r="CQ134" s="190"/>
      <c r="CR134" s="190"/>
      <c r="CS134" s="190"/>
      <c r="CT134" s="190"/>
      <c r="CU134" s="190"/>
      <c r="CV134" s="190"/>
      <c r="CW134" s="190"/>
      <c r="CX134" s="190"/>
      <c r="CY134" s="190"/>
      <c r="CZ134" s="190"/>
      <c r="DA134" s="190"/>
      <c r="DB134" s="190"/>
      <c r="DC134" s="190"/>
      <c r="DD134" s="190"/>
      <c r="DE134" s="190"/>
      <c r="DF134" s="190"/>
      <c r="DG134" s="190"/>
      <c r="DH134" s="190"/>
      <c r="DI134" s="190"/>
      <c r="DJ134" s="190"/>
      <c r="DK134" s="190"/>
      <c r="DL134" s="190"/>
      <c r="DM134" s="190"/>
      <c r="DN134" s="190"/>
      <c r="DO134" s="190"/>
      <c r="DP134" s="190"/>
      <c r="DQ134" s="190"/>
      <c r="DR134" s="190"/>
      <c r="DS134" s="190"/>
      <c r="DT134" s="190"/>
      <c r="DU134" s="190"/>
      <c r="DV134" s="190"/>
      <c r="DW134" s="190"/>
      <c r="DX134" s="190"/>
      <c r="DY134" s="190"/>
      <c r="DZ134" s="190"/>
      <c r="EA134" s="190"/>
      <c r="EB134" s="190"/>
      <c r="EC134" s="190"/>
      <c r="ED134" s="190"/>
      <c r="EE134" s="190"/>
      <c r="EF134" s="190"/>
      <c r="EG134" s="190"/>
      <c r="EH134" s="190"/>
      <c r="EI134" s="190"/>
      <c r="EJ134" s="190"/>
      <c r="EK134" s="190"/>
      <c r="EL134" s="190"/>
      <c r="EM134" s="190"/>
      <c r="EN134" s="190"/>
      <c r="EO134" s="190"/>
      <c r="EP134" s="190"/>
      <c r="EQ134" s="190"/>
      <c r="ER134" s="190"/>
      <c r="ES134" s="190"/>
      <c r="ET134" s="190"/>
      <c r="EU134" s="190"/>
      <c r="EV134" s="190"/>
      <c r="EW134" s="190"/>
      <c r="EX134" s="190"/>
      <c r="EY134" s="190"/>
      <c r="EZ134" s="190"/>
      <c r="FA134" s="190"/>
      <c r="FB134" s="190"/>
      <c r="FC134" s="190"/>
      <c r="FD134" s="190"/>
      <c r="FE134" s="190"/>
      <c r="FF134" s="190"/>
      <c r="FG134" s="190"/>
      <c r="FH134" s="190"/>
      <c r="FI134" s="190"/>
      <c r="FJ134" s="190"/>
      <c r="FK134" s="190"/>
      <c r="FL134" s="190"/>
      <c r="FM134" s="190"/>
      <c r="FN134" s="190"/>
      <c r="FO134" s="190"/>
      <c r="FP134" s="190"/>
      <c r="FQ134" s="190"/>
      <c r="FR134" s="190"/>
      <c r="FS134" s="190"/>
      <c r="FT134" s="190"/>
      <c r="FU134" s="190"/>
      <c r="FV134" s="190"/>
      <c r="FW134" s="190"/>
      <c r="FX134" s="190"/>
      <c r="FY134" s="190"/>
      <c r="FZ134" s="190"/>
      <c r="GA134" s="190"/>
      <c r="GB134" s="190"/>
      <c r="GC134" s="190"/>
      <c r="GD134" s="190"/>
      <c r="GE134" s="190"/>
      <c r="GF134" s="190"/>
      <c r="GG134" s="190"/>
      <c r="GH134" s="190"/>
      <c r="GI134" s="190"/>
      <c r="GJ134" s="190"/>
      <c r="GK134" s="190"/>
      <c r="GL134" s="190"/>
      <c r="GM134" s="190"/>
      <c r="GN134" s="190"/>
      <c r="GO134" s="190"/>
      <c r="GP134" s="190"/>
      <c r="GQ134" s="190"/>
      <c r="GR134" s="190"/>
      <c r="GS134" s="190"/>
      <c r="GT134" s="190"/>
      <c r="GU134" s="190"/>
      <c r="GV134" s="190"/>
      <c r="GW134" s="190"/>
      <c r="GX134" s="190"/>
      <c r="GY134" s="190"/>
      <c r="GZ134" s="190"/>
      <c r="HA134" s="190"/>
      <c r="HB134" s="190"/>
      <c r="HC134" s="190"/>
      <c r="HD134" s="190"/>
      <c r="HE134" s="190"/>
      <c r="HF134" s="190"/>
      <c r="HG134" s="190"/>
      <c r="HH134" s="190"/>
      <c r="HI134" s="190"/>
      <c r="HJ134" s="190"/>
      <c r="HK134" s="190"/>
      <c r="HL134" s="190"/>
      <c r="HM134" s="190"/>
      <c r="HN134" s="190"/>
      <c r="HO134" s="190"/>
      <c r="HP134" s="190"/>
      <c r="HQ134" s="190"/>
      <c r="HR134" s="190"/>
      <c r="HS134" s="190"/>
      <c r="HT134" s="190"/>
      <c r="HU134" s="190"/>
      <c r="HV134" s="190"/>
      <c r="HW134" s="190"/>
      <c r="HX134" s="190"/>
      <c r="HY134" s="190"/>
      <c r="HZ134" s="190"/>
      <c r="IA134" s="190"/>
      <c r="IB134" s="190"/>
    </row>
    <row r="135" spans="1:236" s="137" customFormat="1" ht="14.25">
      <c r="A135" s="190"/>
      <c r="B135" s="190"/>
      <c r="C135" s="190"/>
      <c r="D135" s="190"/>
      <c r="E135" s="190"/>
      <c r="F135" s="190"/>
      <c r="G135" s="190"/>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c r="AP135" s="190"/>
      <c r="AQ135" s="190"/>
      <c r="AR135" s="190"/>
      <c r="AS135" s="190"/>
      <c r="AT135" s="190"/>
      <c r="AU135" s="190"/>
      <c r="AV135" s="190"/>
      <c r="AW135" s="190"/>
      <c r="AX135" s="190"/>
      <c r="AY135" s="190"/>
      <c r="AZ135" s="190"/>
      <c r="BA135" s="190"/>
      <c r="BB135" s="190"/>
      <c r="BC135" s="190"/>
      <c r="BD135" s="190"/>
      <c r="BE135" s="190"/>
      <c r="BF135" s="190"/>
      <c r="BG135" s="190"/>
      <c r="BH135" s="190"/>
      <c r="BI135" s="190"/>
      <c r="BJ135" s="190"/>
      <c r="BK135" s="190"/>
      <c r="BL135" s="190"/>
      <c r="BM135" s="190"/>
      <c r="BN135" s="190"/>
      <c r="BO135" s="190"/>
      <c r="BP135" s="190"/>
      <c r="BQ135" s="190"/>
      <c r="BR135" s="190"/>
      <c r="BS135" s="190"/>
      <c r="BT135" s="190"/>
      <c r="BU135" s="190"/>
      <c r="BV135" s="190"/>
      <c r="BW135" s="190"/>
      <c r="BX135" s="190"/>
      <c r="BY135" s="190"/>
      <c r="BZ135" s="190"/>
      <c r="CA135" s="190"/>
      <c r="CB135" s="190"/>
      <c r="CC135" s="190"/>
      <c r="CD135" s="190"/>
      <c r="CE135" s="190"/>
      <c r="CF135" s="190"/>
      <c r="CG135" s="190"/>
      <c r="CH135" s="190"/>
      <c r="CI135" s="190"/>
      <c r="CJ135" s="190"/>
      <c r="CK135" s="190"/>
      <c r="CL135" s="190"/>
      <c r="CM135" s="190"/>
      <c r="CN135" s="190"/>
      <c r="CO135" s="190"/>
      <c r="CP135" s="190"/>
      <c r="CQ135" s="190"/>
      <c r="CR135" s="190"/>
      <c r="CS135" s="190"/>
      <c r="CT135" s="190"/>
      <c r="CU135" s="190"/>
      <c r="CV135" s="190"/>
      <c r="CW135" s="190"/>
      <c r="CX135" s="190"/>
      <c r="CY135" s="190"/>
      <c r="CZ135" s="190"/>
      <c r="DA135" s="190"/>
      <c r="DB135" s="190"/>
      <c r="DC135" s="190"/>
      <c r="DD135" s="190"/>
      <c r="DE135" s="190"/>
      <c r="DF135" s="190"/>
      <c r="DG135" s="190"/>
      <c r="DH135" s="190"/>
      <c r="DI135" s="190"/>
      <c r="DJ135" s="190"/>
      <c r="DK135" s="190"/>
      <c r="DL135" s="190"/>
      <c r="DM135" s="190"/>
      <c r="DN135" s="190"/>
      <c r="DO135" s="190"/>
      <c r="DP135" s="190"/>
      <c r="DQ135" s="190"/>
      <c r="DR135" s="190"/>
      <c r="DS135" s="190"/>
      <c r="DT135" s="190"/>
      <c r="DU135" s="190"/>
      <c r="DV135" s="190"/>
      <c r="DW135" s="190"/>
      <c r="DX135" s="190"/>
      <c r="DY135" s="190"/>
      <c r="DZ135" s="190"/>
      <c r="EA135" s="190"/>
      <c r="EB135" s="190"/>
      <c r="EC135" s="190"/>
      <c r="ED135" s="190"/>
      <c r="EE135" s="190"/>
      <c r="EF135" s="190"/>
      <c r="EG135" s="190"/>
      <c r="EH135" s="190"/>
      <c r="EI135" s="190"/>
      <c r="EJ135" s="190"/>
      <c r="EK135" s="190"/>
      <c r="EL135" s="190"/>
      <c r="EM135" s="190"/>
      <c r="EN135" s="190"/>
      <c r="EO135" s="190"/>
      <c r="EP135" s="190"/>
      <c r="EQ135" s="190"/>
      <c r="ER135" s="190"/>
      <c r="ES135" s="190"/>
      <c r="ET135" s="190"/>
      <c r="EU135" s="190"/>
      <c r="EV135" s="190"/>
      <c r="EW135" s="190"/>
      <c r="EX135" s="190"/>
      <c r="EY135" s="190"/>
      <c r="EZ135" s="190"/>
      <c r="FA135" s="190"/>
      <c r="FB135" s="190"/>
      <c r="FC135" s="190"/>
      <c r="FD135" s="190"/>
      <c r="FE135" s="190"/>
      <c r="FF135" s="190"/>
      <c r="FG135" s="190"/>
      <c r="FH135" s="190"/>
      <c r="FI135" s="190"/>
      <c r="FJ135" s="190"/>
      <c r="FK135" s="190"/>
      <c r="FL135" s="190"/>
      <c r="FM135" s="190"/>
      <c r="FN135" s="190"/>
      <c r="FO135" s="190"/>
      <c r="FP135" s="190"/>
      <c r="FQ135" s="190"/>
      <c r="FR135" s="190"/>
      <c r="FS135" s="190"/>
      <c r="FT135" s="190"/>
      <c r="FU135" s="190"/>
      <c r="FV135" s="190"/>
      <c r="FW135" s="190"/>
      <c r="FX135" s="190"/>
      <c r="FY135" s="190"/>
      <c r="FZ135" s="190"/>
      <c r="GA135" s="190"/>
      <c r="GB135" s="190"/>
      <c r="GC135" s="190"/>
      <c r="GD135" s="190"/>
      <c r="GE135" s="190"/>
      <c r="GF135" s="190"/>
      <c r="GG135" s="190"/>
      <c r="GH135" s="190"/>
      <c r="GI135" s="190"/>
      <c r="GJ135" s="190"/>
      <c r="GK135" s="190"/>
      <c r="GL135" s="190"/>
      <c r="GM135" s="190"/>
      <c r="GN135" s="190"/>
      <c r="GO135" s="190"/>
      <c r="GP135" s="190"/>
      <c r="GQ135" s="190"/>
      <c r="GR135" s="190"/>
      <c r="GS135" s="190"/>
      <c r="GT135" s="190"/>
      <c r="GU135" s="190"/>
      <c r="GV135" s="190"/>
      <c r="GW135" s="190"/>
      <c r="GX135" s="190"/>
      <c r="GY135" s="190"/>
      <c r="GZ135" s="190"/>
      <c r="HA135" s="190"/>
      <c r="HB135" s="190"/>
      <c r="HC135" s="190"/>
      <c r="HD135" s="190"/>
      <c r="HE135" s="190"/>
      <c r="HF135" s="190"/>
      <c r="HG135" s="190"/>
      <c r="HH135" s="190"/>
      <c r="HI135" s="190"/>
      <c r="HJ135" s="190"/>
      <c r="HK135" s="190"/>
      <c r="HL135" s="190"/>
      <c r="HM135" s="190"/>
      <c r="HN135" s="190"/>
      <c r="HO135" s="190"/>
      <c r="HP135" s="190"/>
      <c r="HQ135" s="190"/>
      <c r="HR135" s="190"/>
      <c r="HS135" s="190"/>
      <c r="HT135" s="190"/>
      <c r="HU135" s="190"/>
      <c r="HV135" s="190"/>
      <c r="HW135" s="190"/>
      <c r="HX135" s="190"/>
      <c r="HY135" s="190"/>
      <c r="HZ135" s="190"/>
      <c r="IA135" s="190"/>
      <c r="IB135" s="190"/>
    </row>
    <row r="136" spans="1:236" s="137" customFormat="1" ht="14.25">
      <c r="A136" s="190"/>
      <c r="B136" s="190"/>
      <c r="C136" s="190"/>
      <c r="D136" s="190"/>
      <c r="E136" s="190"/>
      <c r="F136" s="190"/>
      <c r="G136" s="190"/>
      <c r="H136" s="190"/>
      <c r="I136" s="190"/>
      <c r="J136" s="190"/>
      <c r="K136" s="190"/>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90"/>
      <c r="AP136" s="190"/>
      <c r="AQ136" s="190"/>
      <c r="AR136" s="190"/>
      <c r="AS136" s="190"/>
      <c r="AT136" s="190"/>
      <c r="AU136" s="190"/>
      <c r="AV136" s="190"/>
      <c r="AW136" s="190"/>
      <c r="AX136" s="190"/>
      <c r="AY136" s="190"/>
      <c r="AZ136" s="190"/>
      <c r="BA136" s="190"/>
      <c r="BB136" s="190"/>
      <c r="BC136" s="190"/>
      <c r="BD136" s="190"/>
      <c r="BE136" s="190"/>
      <c r="BF136" s="190"/>
      <c r="BG136" s="190"/>
      <c r="BH136" s="190"/>
      <c r="BI136" s="190"/>
      <c r="BJ136" s="190"/>
      <c r="BK136" s="190"/>
      <c r="BL136" s="190"/>
      <c r="BM136" s="190"/>
      <c r="BN136" s="190"/>
      <c r="BO136" s="190"/>
      <c r="BP136" s="190"/>
      <c r="BQ136" s="190"/>
      <c r="BR136" s="190"/>
      <c r="BS136" s="190"/>
      <c r="BT136" s="190"/>
      <c r="BU136" s="190"/>
      <c r="BV136" s="190"/>
      <c r="BW136" s="190"/>
      <c r="BX136" s="190"/>
      <c r="BY136" s="190"/>
      <c r="BZ136" s="190"/>
      <c r="CA136" s="190"/>
      <c r="CB136" s="190"/>
      <c r="CC136" s="190"/>
      <c r="CD136" s="190"/>
      <c r="CE136" s="190"/>
      <c r="CF136" s="190"/>
      <c r="CG136" s="190"/>
      <c r="CH136" s="190"/>
      <c r="CI136" s="190"/>
      <c r="CJ136" s="190"/>
      <c r="CK136" s="190"/>
      <c r="CL136" s="190"/>
      <c r="CM136" s="190"/>
      <c r="CN136" s="190"/>
      <c r="CO136" s="190"/>
      <c r="CP136" s="190"/>
      <c r="CQ136" s="190"/>
      <c r="CR136" s="190"/>
      <c r="CS136" s="190"/>
      <c r="CT136" s="190"/>
      <c r="CU136" s="190"/>
      <c r="CV136" s="190"/>
      <c r="CW136" s="190"/>
      <c r="CX136" s="190"/>
      <c r="CY136" s="190"/>
      <c r="CZ136" s="190"/>
      <c r="DA136" s="190"/>
      <c r="DB136" s="190"/>
      <c r="DC136" s="190"/>
      <c r="DD136" s="190"/>
      <c r="DE136" s="190"/>
      <c r="DF136" s="190"/>
      <c r="DG136" s="190"/>
      <c r="DH136" s="190"/>
      <c r="DI136" s="190"/>
      <c r="DJ136" s="190"/>
      <c r="DK136" s="190"/>
      <c r="DL136" s="190"/>
      <c r="DM136" s="190"/>
      <c r="DN136" s="190"/>
      <c r="DO136" s="190"/>
      <c r="DP136" s="190"/>
      <c r="DQ136" s="190"/>
      <c r="DR136" s="190"/>
      <c r="DS136" s="190"/>
      <c r="DT136" s="190"/>
      <c r="DU136" s="190"/>
      <c r="DV136" s="190"/>
      <c r="DW136" s="190"/>
      <c r="DX136" s="190"/>
      <c r="DY136" s="190"/>
      <c r="DZ136" s="190"/>
      <c r="EA136" s="190"/>
      <c r="EB136" s="190"/>
      <c r="EC136" s="190"/>
      <c r="ED136" s="190"/>
      <c r="EE136" s="190"/>
      <c r="EF136" s="190"/>
      <c r="EG136" s="190"/>
      <c r="EH136" s="190"/>
      <c r="EI136" s="190"/>
      <c r="EJ136" s="190"/>
      <c r="EK136" s="190"/>
      <c r="EL136" s="190"/>
      <c r="EM136" s="190"/>
      <c r="EN136" s="190"/>
      <c r="EO136" s="190"/>
      <c r="EP136" s="190"/>
      <c r="EQ136" s="190"/>
      <c r="ER136" s="190"/>
      <c r="ES136" s="190"/>
      <c r="ET136" s="190"/>
      <c r="EU136" s="190"/>
      <c r="EV136" s="190"/>
      <c r="EW136" s="190"/>
      <c r="EX136" s="190"/>
      <c r="EY136" s="190"/>
      <c r="EZ136" s="190"/>
      <c r="FA136" s="190"/>
      <c r="FB136" s="190"/>
      <c r="FC136" s="190"/>
      <c r="FD136" s="190"/>
      <c r="FE136" s="190"/>
      <c r="FF136" s="190"/>
      <c r="FG136" s="190"/>
      <c r="FH136" s="190"/>
      <c r="FI136" s="190"/>
      <c r="FJ136" s="190"/>
      <c r="FK136" s="190"/>
      <c r="FL136" s="190"/>
      <c r="FM136" s="190"/>
      <c r="FN136" s="190"/>
      <c r="FO136" s="190"/>
      <c r="FP136" s="190"/>
      <c r="FQ136" s="190"/>
      <c r="FR136" s="190"/>
      <c r="FS136" s="190"/>
      <c r="FT136" s="190"/>
      <c r="FU136" s="190"/>
      <c r="FV136" s="190"/>
      <c r="FW136" s="190"/>
      <c r="FX136" s="190"/>
      <c r="FY136" s="190"/>
      <c r="FZ136" s="190"/>
      <c r="GA136" s="190"/>
      <c r="GB136" s="190"/>
      <c r="GC136" s="190"/>
      <c r="GD136" s="190"/>
      <c r="GE136" s="190"/>
      <c r="GF136" s="190"/>
      <c r="GG136" s="190"/>
      <c r="GH136" s="190"/>
      <c r="GI136" s="190"/>
      <c r="GJ136" s="190"/>
      <c r="GK136" s="190"/>
      <c r="GL136" s="190"/>
      <c r="GM136" s="190"/>
      <c r="GN136" s="190"/>
      <c r="GO136" s="190"/>
      <c r="GP136" s="190"/>
      <c r="GQ136" s="190"/>
      <c r="GR136" s="190"/>
      <c r="GS136" s="190"/>
      <c r="GT136" s="190"/>
      <c r="GU136" s="190"/>
      <c r="GV136" s="190"/>
      <c r="GW136" s="190"/>
      <c r="GX136" s="190"/>
      <c r="GY136" s="190"/>
      <c r="GZ136" s="190"/>
      <c r="HA136" s="190"/>
      <c r="HB136" s="190"/>
      <c r="HC136" s="190"/>
      <c r="HD136" s="190"/>
      <c r="HE136" s="190"/>
      <c r="HF136" s="190"/>
      <c r="HG136" s="190"/>
      <c r="HH136" s="190"/>
      <c r="HI136" s="190"/>
      <c r="HJ136" s="190"/>
      <c r="HK136" s="190"/>
      <c r="HL136" s="190"/>
      <c r="HM136" s="190"/>
      <c r="HN136" s="190"/>
      <c r="HO136" s="190"/>
      <c r="HP136" s="190"/>
      <c r="HQ136" s="190"/>
      <c r="HR136" s="190"/>
      <c r="HS136" s="190"/>
      <c r="HT136" s="190"/>
      <c r="HU136" s="190"/>
      <c r="HV136" s="190"/>
      <c r="HW136" s="190"/>
      <c r="HX136" s="190"/>
      <c r="HY136" s="190"/>
      <c r="HZ136" s="190"/>
      <c r="IA136" s="190"/>
      <c r="IB136" s="190"/>
    </row>
    <row r="137" spans="1:236" s="137" customFormat="1" ht="14.25">
      <c r="A137" s="190"/>
      <c r="B137" s="190"/>
      <c r="C137" s="190"/>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90"/>
      <c r="AP137" s="190"/>
      <c r="AQ137" s="190"/>
      <c r="AR137" s="190"/>
      <c r="AS137" s="190"/>
      <c r="AT137" s="190"/>
      <c r="AU137" s="190"/>
      <c r="AV137" s="190"/>
      <c r="AW137" s="190"/>
      <c r="AX137" s="190"/>
      <c r="AY137" s="190"/>
      <c r="AZ137" s="190"/>
      <c r="BA137" s="190"/>
      <c r="BB137" s="190"/>
      <c r="BC137" s="190"/>
      <c r="BD137" s="190"/>
      <c r="BE137" s="190"/>
      <c r="BF137" s="190"/>
      <c r="BG137" s="190"/>
      <c r="BH137" s="190"/>
      <c r="BI137" s="190"/>
      <c r="BJ137" s="190"/>
      <c r="BK137" s="190"/>
      <c r="BL137" s="190"/>
      <c r="BM137" s="190"/>
      <c r="BN137" s="190"/>
      <c r="BO137" s="190"/>
      <c r="BP137" s="190"/>
      <c r="BQ137" s="190"/>
      <c r="BR137" s="190"/>
      <c r="BS137" s="190"/>
      <c r="BT137" s="190"/>
      <c r="BU137" s="190"/>
      <c r="BV137" s="190"/>
      <c r="BW137" s="190"/>
      <c r="BX137" s="190"/>
      <c r="BY137" s="190"/>
      <c r="BZ137" s="190"/>
      <c r="CA137" s="190"/>
      <c r="CB137" s="190"/>
      <c r="CC137" s="190"/>
      <c r="CD137" s="190"/>
      <c r="CE137" s="190"/>
      <c r="CF137" s="190"/>
      <c r="CG137" s="190"/>
      <c r="CH137" s="190"/>
      <c r="CI137" s="190"/>
      <c r="CJ137" s="190"/>
      <c r="CK137" s="190"/>
      <c r="CL137" s="190"/>
      <c r="CM137" s="190"/>
      <c r="CN137" s="190"/>
      <c r="CO137" s="190"/>
      <c r="CP137" s="190"/>
      <c r="CQ137" s="190"/>
      <c r="CR137" s="190"/>
      <c r="CS137" s="190"/>
      <c r="CT137" s="190"/>
      <c r="CU137" s="190"/>
      <c r="CV137" s="190"/>
      <c r="CW137" s="190"/>
      <c r="CX137" s="190"/>
      <c r="CY137" s="190"/>
      <c r="CZ137" s="190"/>
      <c r="DA137" s="190"/>
      <c r="DB137" s="190"/>
      <c r="DC137" s="190"/>
      <c r="DD137" s="190"/>
      <c r="DE137" s="190"/>
      <c r="DF137" s="190"/>
      <c r="DG137" s="190"/>
      <c r="DH137" s="190"/>
      <c r="DI137" s="190"/>
      <c r="DJ137" s="190"/>
      <c r="DK137" s="190"/>
      <c r="DL137" s="190"/>
      <c r="DM137" s="190"/>
      <c r="DN137" s="190"/>
      <c r="DO137" s="190"/>
      <c r="DP137" s="190"/>
      <c r="DQ137" s="190"/>
      <c r="DR137" s="190"/>
      <c r="DS137" s="190"/>
      <c r="DT137" s="190"/>
      <c r="DU137" s="190"/>
      <c r="DV137" s="190"/>
      <c r="DW137" s="190"/>
      <c r="DX137" s="190"/>
      <c r="DY137" s="190"/>
      <c r="DZ137" s="190"/>
      <c r="EA137" s="190"/>
      <c r="EB137" s="190"/>
      <c r="EC137" s="190"/>
      <c r="ED137" s="190"/>
      <c r="EE137" s="190"/>
      <c r="EF137" s="190"/>
      <c r="EG137" s="190"/>
      <c r="EH137" s="190"/>
      <c r="EI137" s="190"/>
      <c r="EJ137" s="190"/>
      <c r="EK137" s="190"/>
      <c r="EL137" s="190"/>
      <c r="EM137" s="190"/>
      <c r="EN137" s="190"/>
      <c r="EO137" s="190"/>
      <c r="EP137" s="190"/>
      <c r="EQ137" s="190"/>
      <c r="ER137" s="190"/>
      <c r="ES137" s="190"/>
      <c r="ET137" s="190"/>
      <c r="EU137" s="190"/>
      <c r="EV137" s="190"/>
      <c r="EW137" s="190"/>
      <c r="EX137" s="190"/>
      <c r="EY137" s="190"/>
      <c r="EZ137" s="190"/>
      <c r="FA137" s="190"/>
      <c r="FB137" s="190"/>
      <c r="FC137" s="190"/>
      <c r="FD137" s="190"/>
      <c r="FE137" s="190"/>
      <c r="FF137" s="190"/>
      <c r="FG137" s="190"/>
      <c r="FH137" s="190"/>
      <c r="FI137" s="190"/>
      <c r="FJ137" s="190"/>
      <c r="FK137" s="190"/>
      <c r="FL137" s="190"/>
      <c r="FM137" s="190"/>
      <c r="FN137" s="190"/>
      <c r="FO137" s="190"/>
      <c r="FP137" s="190"/>
      <c r="FQ137" s="190"/>
      <c r="FR137" s="190"/>
      <c r="FS137" s="190"/>
      <c r="FT137" s="190"/>
      <c r="FU137" s="190"/>
      <c r="FV137" s="190"/>
      <c r="FW137" s="190"/>
      <c r="FX137" s="190"/>
      <c r="FY137" s="190"/>
      <c r="FZ137" s="190"/>
      <c r="GA137" s="190"/>
      <c r="GB137" s="190"/>
      <c r="GC137" s="190"/>
      <c r="GD137" s="190"/>
      <c r="GE137" s="190"/>
      <c r="GF137" s="190"/>
      <c r="GG137" s="190"/>
      <c r="GH137" s="190"/>
      <c r="GI137" s="190"/>
      <c r="GJ137" s="190"/>
      <c r="GK137" s="190"/>
      <c r="GL137" s="190"/>
      <c r="GM137" s="190"/>
      <c r="GN137" s="190"/>
      <c r="GO137" s="190"/>
      <c r="GP137" s="190"/>
      <c r="GQ137" s="190"/>
      <c r="GR137" s="190"/>
      <c r="GS137" s="190"/>
      <c r="GT137" s="190"/>
      <c r="GU137" s="190"/>
      <c r="GV137" s="190"/>
      <c r="GW137" s="190"/>
      <c r="GX137" s="190"/>
      <c r="GY137" s="190"/>
      <c r="GZ137" s="190"/>
      <c r="HA137" s="190"/>
      <c r="HB137" s="190"/>
      <c r="HC137" s="190"/>
      <c r="HD137" s="190"/>
      <c r="HE137" s="190"/>
      <c r="HF137" s="190"/>
      <c r="HG137" s="190"/>
      <c r="HH137" s="190"/>
      <c r="HI137" s="190"/>
      <c r="HJ137" s="190"/>
      <c r="HK137" s="190"/>
      <c r="HL137" s="190"/>
      <c r="HM137" s="190"/>
      <c r="HN137" s="190"/>
      <c r="HO137" s="190"/>
      <c r="HP137" s="190"/>
      <c r="HQ137" s="190"/>
      <c r="HR137" s="190"/>
      <c r="HS137" s="190"/>
      <c r="HT137" s="190"/>
      <c r="HU137" s="190"/>
      <c r="HV137" s="190"/>
      <c r="HW137" s="190"/>
      <c r="HX137" s="190"/>
      <c r="HY137" s="190"/>
      <c r="HZ137" s="190"/>
      <c r="IA137" s="190"/>
      <c r="IB137" s="190"/>
    </row>
    <row r="138" spans="1:236" s="137" customFormat="1" ht="14.25">
      <c r="A138" s="190"/>
      <c r="B138" s="190"/>
      <c r="C138" s="190"/>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c r="BF138" s="190"/>
      <c r="BG138" s="190"/>
      <c r="BH138" s="190"/>
      <c r="BI138" s="190"/>
      <c r="BJ138" s="190"/>
      <c r="BK138" s="190"/>
      <c r="BL138" s="190"/>
      <c r="BM138" s="190"/>
      <c r="BN138" s="190"/>
      <c r="BO138" s="190"/>
      <c r="BP138" s="190"/>
      <c r="BQ138" s="190"/>
      <c r="BR138" s="190"/>
      <c r="BS138" s="190"/>
      <c r="BT138" s="190"/>
      <c r="BU138" s="190"/>
      <c r="BV138" s="190"/>
      <c r="BW138" s="190"/>
      <c r="BX138" s="190"/>
      <c r="BY138" s="190"/>
      <c r="BZ138" s="190"/>
      <c r="CA138" s="190"/>
      <c r="CB138" s="190"/>
      <c r="CC138" s="190"/>
      <c r="CD138" s="190"/>
      <c r="CE138" s="190"/>
      <c r="CF138" s="190"/>
      <c r="CG138" s="190"/>
      <c r="CH138" s="190"/>
      <c r="CI138" s="190"/>
      <c r="CJ138" s="190"/>
      <c r="CK138" s="190"/>
      <c r="CL138" s="190"/>
      <c r="CM138" s="190"/>
      <c r="CN138" s="190"/>
      <c r="CO138" s="190"/>
      <c r="CP138" s="190"/>
      <c r="CQ138" s="190"/>
      <c r="CR138" s="190"/>
      <c r="CS138" s="190"/>
      <c r="CT138" s="190"/>
      <c r="CU138" s="190"/>
      <c r="CV138" s="190"/>
      <c r="CW138" s="190"/>
      <c r="CX138" s="190"/>
      <c r="CY138" s="190"/>
      <c r="CZ138" s="190"/>
      <c r="DA138" s="190"/>
      <c r="DB138" s="190"/>
      <c r="DC138" s="190"/>
      <c r="DD138" s="190"/>
      <c r="DE138" s="190"/>
      <c r="DF138" s="190"/>
      <c r="DG138" s="190"/>
      <c r="DH138" s="190"/>
      <c r="DI138" s="190"/>
      <c r="DJ138" s="190"/>
      <c r="DK138" s="190"/>
      <c r="DL138" s="190"/>
      <c r="DM138" s="190"/>
      <c r="DN138" s="190"/>
      <c r="DO138" s="190"/>
      <c r="DP138" s="190"/>
      <c r="DQ138" s="190"/>
      <c r="DR138" s="190"/>
      <c r="DS138" s="190"/>
      <c r="DT138" s="190"/>
      <c r="DU138" s="190"/>
      <c r="DV138" s="190"/>
      <c r="DW138" s="190"/>
      <c r="DX138" s="190"/>
      <c r="DY138" s="190"/>
      <c r="DZ138" s="190"/>
      <c r="EA138" s="190"/>
      <c r="EB138" s="190"/>
      <c r="EC138" s="190"/>
      <c r="ED138" s="190"/>
      <c r="EE138" s="190"/>
      <c r="EF138" s="190"/>
      <c r="EG138" s="190"/>
      <c r="EH138" s="190"/>
      <c r="EI138" s="190"/>
      <c r="EJ138" s="190"/>
      <c r="EK138" s="190"/>
      <c r="EL138" s="190"/>
      <c r="EM138" s="190"/>
      <c r="EN138" s="190"/>
      <c r="EO138" s="190"/>
      <c r="EP138" s="190"/>
      <c r="EQ138" s="190"/>
      <c r="ER138" s="190"/>
      <c r="ES138" s="190"/>
      <c r="ET138" s="190"/>
      <c r="EU138" s="190"/>
      <c r="EV138" s="190"/>
      <c r="EW138" s="190"/>
      <c r="EX138" s="190"/>
      <c r="EY138" s="190"/>
      <c r="EZ138" s="190"/>
      <c r="FA138" s="190"/>
      <c r="FB138" s="190"/>
      <c r="FC138" s="190"/>
      <c r="FD138" s="190"/>
      <c r="FE138" s="190"/>
      <c r="FF138" s="190"/>
      <c r="FG138" s="190"/>
      <c r="FH138" s="190"/>
      <c r="FI138" s="190"/>
      <c r="FJ138" s="190"/>
      <c r="FK138" s="190"/>
      <c r="FL138" s="190"/>
      <c r="FM138" s="190"/>
      <c r="FN138" s="190"/>
      <c r="FO138" s="190"/>
      <c r="FP138" s="190"/>
      <c r="FQ138" s="190"/>
      <c r="FR138" s="190"/>
      <c r="FS138" s="190"/>
      <c r="FT138" s="190"/>
      <c r="FU138" s="190"/>
      <c r="FV138" s="190"/>
      <c r="FW138" s="190"/>
      <c r="FX138" s="190"/>
      <c r="FY138" s="190"/>
      <c r="FZ138" s="190"/>
      <c r="GA138" s="190"/>
      <c r="GB138" s="190"/>
      <c r="GC138" s="190"/>
      <c r="GD138" s="190"/>
      <c r="GE138" s="190"/>
      <c r="GF138" s="190"/>
      <c r="GG138" s="190"/>
      <c r="GH138" s="190"/>
      <c r="GI138" s="190"/>
      <c r="GJ138" s="190"/>
      <c r="GK138" s="190"/>
      <c r="GL138" s="190"/>
      <c r="GM138" s="190"/>
      <c r="GN138" s="190"/>
      <c r="GO138" s="190"/>
      <c r="GP138" s="190"/>
      <c r="GQ138" s="190"/>
      <c r="GR138" s="190"/>
      <c r="GS138" s="190"/>
      <c r="GT138" s="190"/>
      <c r="GU138" s="190"/>
      <c r="GV138" s="190"/>
      <c r="GW138" s="190"/>
      <c r="GX138" s="190"/>
      <c r="GY138" s="190"/>
      <c r="GZ138" s="190"/>
      <c r="HA138" s="190"/>
      <c r="HB138" s="190"/>
      <c r="HC138" s="190"/>
      <c r="HD138" s="190"/>
      <c r="HE138" s="190"/>
      <c r="HF138" s="190"/>
      <c r="HG138" s="190"/>
      <c r="HH138" s="190"/>
      <c r="HI138" s="190"/>
      <c r="HJ138" s="190"/>
      <c r="HK138" s="190"/>
      <c r="HL138" s="190"/>
      <c r="HM138" s="190"/>
      <c r="HN138" s="190"/>
      <c r="HO138" s="190"/>
      <c r="HP138" s="190"/>
      <c r="HQ138" s="190"/>
      <c r="HR138" s="190"/>
      <c r="HS138" s="190"/>
      <c r="HT138" s="190"/>
      <c r="HU138" s="190"/>
      <c r="HV138" s="190"/>
      <c r="HW138" s="190"/>
      <c r="HX138" s="190"/>
      <c r="HY138" s="190"/>
      <c r="HZ138" s="190"/>
      <c r="IA138" s="190"/>
      <c r="IB138" s="190"/>
    </row>
    <row r="139" spans="1:236" s="137" customFormat="1" ht="14.25">
      <c r="A139" s="190"/>
      <c r="B139" s="190"/>
      <c r="C139" s="190"/>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c r="BC139" s="190"/>
      <c r="BD139" s="190"/>
      <c r="BE139" s="190"/>
      <c r="BF139" s="190"/>
      <c r="BG139" s="190"/>
      <c r="BH139" s="190"/>
      <c r="BI139" s="190"/>
      <c r="BJ139" s="190"/>
      <c r="BK139" s="190"/>
      <c r="BL139" s="190"/>
      <c r="BM139" s="190"/>
      <c r="BN139" s="190"/>
      <c r="BO139" s="190"/>
      <c r="BP139" s="190"/>
      <c r="BQ139" s="190"/>
      <c r="BR139" s="190"/>
      <c r="BS139" s="190"/>
      <c r="BT139" s="190"/>
      <c r="BU139" s="190"/>
      <c r="BV139" s="190"/>
      <c r="BW139" s="190"/>
      <c r="BX139" s="190"/>
      <c r="BY139" s="190"/>
      <c r="BZ139" s="190"/>
      <c r="CA139" s="190"/>
      <c r="CB139" s="190"/>
      <c r="CC139" s="190"/>
      <c r="CD139" s="190"/>
      <c r="CE139" s="190"/>
      <c r="CF139" s="190"/>
      <c r="CG139" s="190"/>
      <c r="CH139" s="190"/>
      <c r="CI139" s="190"/>
      <c r="CJ139" s="190"/>
      <c r="CK139" s="190"/>
      <c r="CL139" s="190"/>
      <c r="CM139" s="190"/>
      <c r="CN139" s="190"/>
      <c r="CO139" s="190"/>
      <c r="CP139" s="190"/>
      <c r="CQ139" s="190"/>
      <c r="CR139" s="190"/>
      <c r="CS139" s="190"/>
      <c r="CT139" s="190"/>
      <c r="CU139" s="190"/>
      <c r="CV139" s="190"/>
      <c r="CW139" s="190"/>
      <c r="CX139" s="190"/>
      <c r="CY139" s="190"/>
      <c r="CZ139" s="190"/>
      <c r="DA139" s="190"/>
      <c r="DB139" s="190"/>
      <c r="DC139" s="190"/>
      <c r="DD139" s="190"/>
      <c r="DE139" s="190"/>
      <c r="DF139" s="190"/>
      <c r="DG139" s="190"/>
      <c r="DH139" s="190"/>
      <c r="DI139" s="190"/>
      <c r="DJ139" s="190"/>
      <c r="DK139" s="190"/>
      <c r="DL139" s="190"/>
      <c r="DM139" s="190"/>
      <c r="DN139" s="190"/>
      <c r="DO139" s="190"/>
      <c r="DP139" s="190"/>
      <c r="DQ139" s="190"/>
      <c r="DR139" s="190"/>
      <c r="DS139" s="190"/>
      <c r="DT139" s="190"/>
      <c r="DU139" s="190"/>
      <c r="DV139" s="190"/>
      <c r="DW139" s="190"/>
      <c r="DX139" s="190"/>
      <c r="DY139" s="190"/>
      <c r="DZ139" s="190"/>
      <c r="EA139" s="190"/>
      <c r="EB139" s="190"/>
      <c r="EC139" s="190"/>
      <c r="ED139" s="190"/>
      <c r="EE139" s="190"/>
      <c r="EF139" s="190"/>
      <c r="EG139" s="190"/>
      <c r="EH139" s="190"/>
      <c r="EI139" s="190"/>
      <c r="EJ139" s="190"/>
      <c r="EK139" s="190"/>
      <c r="EL139" s="190"/>
      <c r="EM139" s="190"/>
      <c r="EN139" s="190"/>
      <c r="EO139" s="190"/>
      <c r="EP139" s="190"/>
      <c r="EQ139" s="190"/>
      <c r="ER139" s="190"/>
      <c r="ES139" s="190"/>
      <c r="ET139" s="190"/>
      <c r="EU139" s="190"/>
      <c r="EV139" s="190"/>
      <c r="EW139" s="190"/>
      <c r="EX139" s="190"/>
      <c r="EY139" s="190"/>
      <c r="EZ139" s="190"/>
      <c r="FA139" s="190"/>
      <c r="FB139" s="190"/>
      <c r="FC139" s="190"/>
      <c r="FD139" s="190"/>
      <c r="FE139" s="190"/>
      <c r="FF139" s="190"/>
      <c r="FG139" s="190"/>
      <c r="FH139" s="190"/>
      <c r="FI139" s="190"/>
      <c r="FJ139" s="190"/>
      <c r="FK139" s="190"/>
      <c r="FL139" s="190"/>
      <c r="FM139" s="190"/>
      <c r="FN139" s="190"/>
      <c r="FO139" s="190"/>
      <c r="FP139" s="190"/>
      <c r="FQ139" s="190"/>
      <c r="FR139" s="190"/>
      <c r="FS139" s="190"/>
      <c r="FT139" s="190"/>
      <c r="FU139" s="190"/>
      <c r="FV139" s="190"/>
      <c r="FW139" s="190"/>
      <c r="FX139" s="190"/>
      <c r="FY139" s="190"/>
      <c r="FZ139" s="190"/>
      <c r="GA139" s="190"/>
      <c r="GB139" s="190"/>
      <c r="GC139" s="190"/>
      <c r="GD139" s="190"/>
      <c r="GE139" s="190"/>
      <c r="GF139" s="190"/>
      <c r="GG139" s="190"/>
      <c r="GH139" s="190"/>
      <c r="GI139" s="190"/>
      <c r="GJ139" s="190"/>
      <c r="GK139" s="190"/>
      <c r="GL139" s="190"/>
      <c r="GM139" s="190"/>
      <c r="GN139" s="190"/>
      <c r="GO139" s="190"/>
      <c r="GP139" s="190"/>
      <c r="GQ139" s="190"/>
      <c r="GR139" s="190"/>
      <c r="GS139" s="190"/>
      <c r="GT139" s="190"/>
      <c r="GU139" s="190"/>
      <c r="GV139" s="190"/>
      <c r="GW139" s="190"/>
      <c r="GX139" s="190"/>
      <c r="GY139" s="190"/>
      <c r="GZ139" s="190"/>
      <c r="HA139" s="190"/>
      <c r="HB139" s="190"/>
      <c r="HC139" s="190"/>
      <c r="HD139" s="190"/>
      <c r="HE139" s="190"/>
      <c r="HF139" s="190"/>
      <c r="HG139" s="190"/>
      <c r="HH139" s="190"/>
      <c r="HI139" s="190"/>
      <c r="HJ139" s="190"/>
      <c r="HK139" s="190"/>
      <c r="HL139" s="190"/>
      <c r="HM139" s="190"/>
      <c r="HN139" s="190"/>
      <c r="HO139" s="190"/>
      <c r="HP139" s="190"/>
      <c r="HQ139" s="190"/>
      <c r="HR139" s="190"/>
      <c r="HS139" s="190"/>
      <c r="HT139" s="190"/>
      <c r="HU139" s="190"/>
      <c r="HV139" s="190"/>
      <c r="HW139" s="190"/>
      <c r="HX139" s="190"/>
      <c r="HY139" s="190"/>
      <c r="HZ139" s="190"/>
      <c r="IA139" s="190"/>
      <c r="IB139" s="190"/>
    </row>
    <row r="140" spans="1:236" s="137" customFormat="1" ht="14.25">
      <c r="A140" s="190"/>
      <c r="B140" s="190"/>
      <c r="C140" s="190"/>
      <c r="D140" s="190"/>
      <c r="E140" s="190"/>
      <c r="F140" s="190"/>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90"/>
      <c r="AP140" s="190"/>
      <c r="AQ140" s="190"/>
      <c r="AR140" s="190"/>
      <c r="AS140" s="190"/>
      <c r="AT140" s="190"/>
      <c r="AU140" s="190"/>
      <c r="AV140" s="190"/>
      <c r="AW140" s="190"/>
      <c r="AX140" s="190"/>
      <c r="AY140" s="190"/>
      <c r="AZ140" s="190"/>
      <c r="BA140" s="190"/>
      <c r="BB140" s="190"/>
      <c r="BC140" s="190"/>
      <c r="BD140" s="190"/>
      <c r="BE140" s="190"/>
      <c r="BF140" s="190"/>
      <c r="BG140" s="190"/>
      <c r="BH140" s="190"/>
      <c r="BI140" s="190"/>
      <c r="BJ140" s="190"/>
      <c r="BK140" s="190"/>
      <c r="BL140" s="190"/>
      <c r="BM140" s="190"/>
      <c r="BN140" s="190"/>
      <c r="BO140" s="190"/>
      <c r="BP140" s="190"/>
      <c r="BQ140" s="190"/>
      <c r="BR140" s="190"/>
      <c r="BS140" s="190"/>
      <c r="BT140" s="190"/>
      <c r="BU140" s="190"/>
      <c r="BV140" s="190"/>
      <c r="BW140" s="190"/>
      <c r="BX140" s="190"/>
      <c r="BY140" s="190"/>
      <c r="BZ140" s="190"/>
      <c r="CA140" s="190"/>
      <c r="CB140" s="190"/>
      <c r="CC140" s="190"/>
      <c r="CD140" s="190"/>
      <c r="CE140" s="190"/>
      <c r="CF140" s="190"/>
      <c r="CG140" s="190"/>
      <c r="CH140" s="190"/>
      <c r="CI140" s="190"/>
      <c r="CJ140" s="190"/>
      <c r="CK140" s="190"/>
      <c r="CL140" s="190"/>
      <c r="CM140" s="190"/>
      <c r="CN140" s="190"/>
      <c r="CO140" s="190"/>
      <c r="CP140" s="190"/>
      <c r="CQ140" s="190"/>
      <c r="CR140" s="190"/>
      <c r="CS140" s="190"/>
      <c r="CT140" s="190"/>
      <c r="CU140" s="190"/>
      <c r="CV140" s="190"/>
      <c r="CW140" s="190"/>
      <c r="CX140" s="190"/>
      <c r="CY140" s="190"/>
      <c r="CZ140" s="190"/>
      <c r="DA140" s="190"/>
      <c r="DB140" s="190"/>
      <c r="DC140" s="190"/>
      <c r="DD140" s="190"/>
      <c r="DE140" s="190"/>
      <c r="DF140" s="190"/>
      <c r="DG140" s="190"/>
      <c r="DH140" s="190"/>
      <c r="DI140" s="190"/>
      <c r="DJ140" s="190"/>
      <c r="DK140" s="190"/>
      <c r="DL140" s="190"/>
      <c r="DM140" s="190"/>
      <c r="DN140" s="190"/>
      <c r="DO140" s="190"/>
      <c r="DP140" s="190"/>
      <c r="DQ140" s="190"/>
      <c r="DR140" s="190"/>
      <c r="DS140" s="190"/>
      <c r="DT140" s="190"/>
      <c r="DU140" s="190"/>
      <c r="DV140" s="190"/>
      <c r="DW140" s="190"/>
      <c r="DX140" s="190"/>
      <c r="DY140" s="190"/>
      <c r="DZ140" s="190"/>
      <c r="EA140" s="190"/>
      <c r="EB140" s="190"/>
      <c r="EC140" s="190"/>
      <c r="ED140" s="190"/>
      <c r="EE140" s="190"/>
      <c r="EF140" s="190"/>
      <c r="EG140" s="190"/>
      <c r="EH140" s="190"/>
      <c r="EI140" s="190"/>
      <c r="EJ140" s="190"/>
      <c r="EK140" s="190"/>
      <c r="EL140" s="190"/>
      <c r="EM140" s="190"/>
      <c r="EN140" s="190"/>
      <c r="EO140" s="190"/>
      <c r="EP140" s="190"/>
      <c r="EQ140" s="190"/>
      <c r="ER140" s="190"/>
      <c r="ES140" s="190"/>
      <c r="ET140" s="190"/>
      <c r="EU140" s="190"/>
      <c r="EV140" s="190"/>
      <c r="EW140" s="190"/>
      <c r="EX140" s="190"/>
      <c r="EY140" s="190"/>
      <c r="EZ140" s="190"/>
      <c r="FA140" s="190"/>
      <c r="FB140" s="190"/>
      <c r="FC140" s="190"/>
      <c r="FD140" s="190"/>
      <c r="FE140" s="190"/>
      <c r="FF140" s="190"/>
      <c r="FG140" s="190"/>
      <c r="FH140" s="190"/>
      <c r="FI140" s="190"/>
      <c r="FJ140" s="190"/>
      <c r="FK140" s="190"/>
      <c r="FL140" s="190"/>
      <c r="FM140" s="190"/>
      <c r="FN140" s="190"/>
      <c r="FO140" s="190"/>
      <c r="FP140" s="190"/>
      <c r="FQ140" s="190"/>
      <c r="FR140" s="190"/>
      <c r="FS140" s="190"/>
      <c r="FT140" s="190"/>
      <c r="FU140" s="190"/>
      <c r="FV140" s="190"/>
      <c r="FW140" s="190"/>
      <c r="FX140" s="190"/>
      <c r="FY140" s="190"/>
      <c r="FZ140" s="190"/>
      <c r="GA140" s="190"/>
      <c r="GB140" s="190"/>
      <c r="GC140" s="190"/>
      <c r="GD140" s="190"/>
      <c r="GE140" s="190"/>
      <c r="GF140" s="190"/>
      <c r="GG140" s="190"/>
      <c r="GH140" s="190"/>
      <c r="GI140" s="190"/>
      <c r="GJ140" s="190"/>
      <c r="GK140" s="190"/>
      <c r="GL140" s="190"/>
      <c r="GM140" s="190"/>
      <c r="GN140" s="190"/>
      <c r="GO140" s="190"/>
      <c r="GP140" s="190"/>
      <c r="GQ140" s="190"/>
      <c r="GR140" s="190"/>
      <c r="GS140" s="190"/>
      <c r="GT140" s="190"/>
      <c r="GU140" s="190"/>
      <c r="GV140" s="190"/>
      <c r="GW140" s="190"/>
      <c r="GX140" s="190"/>
      <c r="GY140" s="190"/>
      <c r="GZ140" s="190"/>
      <c r="HA140" s="190"/>
      <c r="HB140" s="190"/>
      <c r="HC140" s="190"/>
      <c r="HD140" s="190"/>
      <c r="HE140" s="190"/>
      <c r="HF140" s="190"/>
      <c r="HG140" s="190"/>
      <c r="HH140" s="190"/>
      <c r="HI140" s="190"/>
      <c r="HJ140" s="190"/>
      <c r="HK140" s="190"/>
      <c r="HL140" s="190"/>
      <c r="HM140" s="190"/>
      <c r="HN140" s="190"/>
      <c r="HO140" s="190"/>
      <c r="HP140" s="190"/>
      <c r="HQ140" s="190"/>
      <c r="HR140" s="190"/>
      <c r="HS140" s="190"/>
      <c r="HT140" s="190"/>
      <c r="HU140" s="190"/>
      <c r="HV140" s="190"/>
      <c r="HW140" s="190"/>
      <c r="HX140" s="190"/>
      <c r="HY140" s="190"/>
      <c r="HZ140" s="190"/>
      <c r="IA140" s="190"/>
      <c r="IB140" s="190"/>
    </row>
    <row r="141" spans="1:236" s="137" customFormat="1" ht="14.25">
      <c r="A141" s="190"/>
      <c r="B141" s="190"/>
      <c r="C141" s="190"/>
      <c r="D141" s="190"/>
      <c r="E141" s="190"/>
      <c r="F141" s="190"/>
      <c r="G141" s="190"/>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90"/>
      <c r="AP141" s="190"/>
      <c r="AQ141" s="190"/>
      <c r="AR141" s="190"/>
      <c r="AS141" s="190"/>
      <c r="AT141" s="190"/>
      <c r="AU141" s="190"/>
      <c r="AV141" s="190"/>
      <c r="AW141" s="190"/>
      <c r="AX141" s="190"/>
      <c r="AY141" s="190"/>
      <c r="AZ141" s="190"/>
      <c r="BA141" s="190"/>
      <c r="BB141" s="190"/>
      <c r="BC141" s="190"/>
      <c r="BD141" s="190"/>
      <c r="BE141" s="190"/>
      <c r="BF141" s="190"/>
      <c r="BG141" s="190"/>
      <c r="BH141" s="190"/>
      <c r="BI141" s="190"/>
      <c r="BJ141" s="190"/>
      <c r="BK141" s="190"/>
      <c r="BL141" s="190"/>
      <c r="BM141" s="190"/>
      <c r="BN141" s="190"/>
      <c r="BO141" s="190"/>
      <c r="BP141" s="190"/>
      <c r="BQ141" s="190"/>
      <c r="BR141" s="190"/>
      <c r="BS141" s="190"/>
      <c r="BT141" s="190"/>
      <c r="BU141" s="190"/>
      <c r="BV141" s="190"/>
      <c r="BW141" s="190"/>
      <c r="BX141" s="190"/>
      <c r="BY141" s="190"/>
      <c r="BZ141" s="190"/>
      <c r="CA141" s="190"/>
      <c r="CB141" s="190"/>
      <c r="CC141" s="190"/>
      <c r="CD141" s="190"/>
      <c r="CE141" s="190"/>
      <c r="CF141" s="190"/>
      <c r="CG141" s="190"/>
      <c r="CH141" s="190"/>
      <c r="CI141" s="190"/>
      <c r="CJ141" s="190"/>
      <c r="CK141" s="190"/>
      <c r="CL141" s="190"/>
      <c r="CM141" s="190"/>
      <c r="CN141" s="190"/>
      <c r="CO141" s="190"/>
      <c r="CP141" s="190"/>
      <c r="CQ141" s="190"/>
      <c r="CR141" s="190"/>
      <c r="CS141" s="190"/>
      <c r="CT141" s="190"/>
      <c r="CU141" s="190"/>
      <c r="CV141" s="190"/>
      <c r="CW141" s="190"/>
      <c r="CX141" s="190"/>
      <c r="CY141" s="190"/>
      <c r="CZ141" s="190"/>
      <c r="DA141" s="190"/>
      <c r="DB141" s="190"/>
      <c r="DC141" s="190"/>
      <c r="DD141" s="190"/>
      <c r="DE141" s="190"/>
      <c r="DF141" s="190"/>
      <c r="DG141" s="190"/>
      <c r="DH141" s="190"/>
      <c r="DI141" s="190"/>
      <c r="DJ141" s="190"/>
      <c r="DK141" s="190"/>
      <c r="DL141" s="190"/>
      <c r="DM141" s="190"/>
      <c r="DN141" s="190"/>
      <c r="DO141" s="190"/>
      <c r="DP141" s="190"/>
      <c r="DQ141" s="190"/>
      <c r="DR141" s="190"/>
      <c r="DS141" s="190"/>
      <c r="DT141" s="190"/>
      <c r="DU141" s="190"/>
      <c r="DV141" s="190"/>
      <c r="DW141" s="190"/>
      <c r="DX141" s="190"/>
      <c r="DY141" s="190"/>
      <c r="DZ141" s="190"/>
      <c r="EA141" s="190"/>
      <c r="EB141" s="190"/>
      <c r="EC141" s="190"/>
      <c r="ED141" s="190"/>
      <c r="EE141" s="190"/>
      <c r="EF141" s="190"/>
      <c r="EG141" s="190"/>
      <c r="EH141" s="190"/>
      <c r="EI141" s="190"/>
      <c r="EJ141" s="190"/>
      <c r="EK141" s="190"/>
      <c r="EL141" s="190"/>
      <c r="EM141" s="190"/>
      <c r="EN141" s="190"/>
      <c r="EO141" s="190"/>
      <c r="EP141" s="190"/>
      <c r="EQ141" s="190"/>
      <c r="ER141" s="190"/>
      <c r="ES141" s="190"/>
      <c r="ET141" s="190"/>
      <c r="EU141" s="190"/>
      <c r="EV141" s="190"/>
      <c r="EW141" s="190"/>
      <c r="EX141" s="190"/>
      <c r="EY141" s="190"/>
      <c r="EZ141" s="190"/>
      <c r="FA141" s="190"/>
      <c r="FB141" s="190"/>
      <c r="FC141" s="190"/>
      <c r="FD141" s="190"/>
      <c r="FE141" s="190"/>
      <c r="FF141" s="190"/>
      <c r="FG141" s="190"/>
      <c r="FH141" s="190"/>
      <c r="FI141" s="190"/>
      <c r="FJ141" s="190"/>
      <c r="FK141" s="190"/>
      <c r="FL141" s="190"/>
      <c r="FM141" s="190"/>
      <c r="FN141" s="190"/>
      <c r="FO141" s="190"/>
      <c r="FP141" s="190"/>
      <c r="FQ141" s="190"/>
      <c r="FR141" s="190"/>
      <c r="FS141" s="190"/>
      <c r="FT141" s="190"/>
      <c r="FU141" s="190"/>
      <c r="FV141" s="190"/>
      <c r="FW141" s="190"/>
      <c r="FX141" s="190"/>
      <c r="FY141" s="190"/>
      <c r="FZ141" s="190"/>
      <c r="GA141" s="190"/>
      <c r="GB141" s="190"/>
      <c r="GC141" s="190"/>
      <c r="GD141" s="190"/>
      <c r="GE141" s="190"/>
      <c r="GF141" s="190"/>
      <c r="GG141" s="190"/>
      <c r="GH141" s="190"/>
      <c r="GI141" s="190"/>
      <c r="GJ141" s="190"/>
      <c r="GK141" s="190"/>
      <c r="GL141" s="190"/>
      <c r="GM141" s="190"/>
      <c r="GN141" s="190"/>
      <c r="GO141" s="190"/>
      <c r="GP141" s="190"/>
      <c r="GQ141" s="190"/>
      <c r="GR141" s="190"/>
      <c r="GS141" s="190"/>
      <c r="GT141" s="190"/>
      <c r="GU141" s="190"/>
      <c r="GV141" s="190"/>
      <c r="GW141" s="190"/>
      <c r="GX141" s="190"/>
      <c r="GY141" s="190"/>
      <c r="GZ141" s="190"/>
      <c r="HA141" s="190"/>
      <c r="HB141" s="190"/>
      <c r="HC141" s="190"/>
      <c r="HD141" s="190"/>
      <c r="HE141" s="190"/>
      <c r="HF141" s="190"/>
      <c r="HG141" s="190"/>
      <c r="HH141" s="190"/>
      <c r="HI141" s="190"/>
      <c r="HJ141" s="190"/>
      <c r="HK141" s="190"/>
      <c r="HL141" s="190"/>
      <c r="HM141" s="190"/>
      <c r="HN141" s="190"/>
      <c r="HO141" s="190"/>
      <c r="HP141" s="190"/>
      <c r="HQ141" s="190"/>
      <c r="HR141" s="190"/>
      <c r="HS141" s="190"/>
      <c r="HT141" s="190"/>
      <c r="HU141" s="190"/>
      <c r="HV141" s="190"/>
      <c r="HW141" s="190"/>
      <c r="HX141" s="190"/>
      <c r="HY141" s="190"/>
      <c r="HZ141" s="190"/>
      <c r="IA141" s="190"/>
      <c r="IB141" s="190"/>
    </row>
    <row r="142" spans="1:236" s="137" customFormat="1" ht="14.25">
      <c r="A142" s="190"/>
      <c r="B142" s="190"/>
      <c r="C142" s="190"/>
      <c r="D142" s="190"/>
      <c r="E142" s="190"/>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90"/>
      <c r="AP142" s="190"/>
      <c r="AQ142" s="190"/>
      <c r="AR142" s="190"/>
      <c r="AS142" s="190"/>
      <c r="AT142" s="190"/>
      <c r="AU142" s="190"/>
      <c r="AV142" s="190"/>
      <c r="AW142" s="190"/>
      <c r="AX142" s="190"/>
      <c r="AY142" s="190"/>
      <c r="AZ142" s="190"/>
      <c r="BA142" s="190"/>
      <c r="BB142" s="190"/>
      <c r="BC142" s="190"/>
      <c r="BD142" s="190"/>
      <c r="BE142" s="190"/>
      <c r="BF142" s="190"/>
      <c r="BG142" s="190"/>
      <c r="BH142" s="190"/>
      <c r="BI142" s="190"/>
      <c r="BJ142" s="190"/>
      <c r="BK142" s="190"/>
      <c r="BL142" s="190"/>
      <c r="BM142" s="190"/>
      <c r="BN142" s="190"/>
      <c r="BO142" s="190"/>
      <c r="BP142" s="190"/>
      <c r="BQ142" s="190"/>
      <c r="BR142" s="190"/>
      <c r="BS142" s="190"/>
      <c r="BT142" s="190"/>
      <c r="BU142" s="190"/>
      <c r="BV142" s="190"/>
      <c r="BW142" s="190"/>
      <c r="BX142" s="190"/>
      <c r="BY142" s="190"/>
      <c r="BZ142" s="190"/>
      <c r="CA142" s="190"/>
      <c r="CB142" s="190"/>
      <c r="CC142" s="190"/>
      <c r="CD142" s="190"/>
      <c r="CE142" s="190"/>
      <c r="CF142" s="190"/>
      <c r="CG142" s="190"/>
      <c r="CH142" s="190"/>
      <c r="CI142" s="190"/>
      <c r="CJ142" s="190"/>
      <c r="CK142" s="190"/>
      <c r="CL142" s="190"/>
      <c r="CM142" s="190"/>
      <c r="CN142" s="190"/>
      <c r="CO142" s="190"/>
      <c r="CP142" s="190"/>
      <c r="CQ142" s="190"/>
      <c r="CR142" s="190"/>
      <c r="CS142" s="190"/>
      <c r="CT142" s="190"/>
      <c r="CU142" s="190"/>
      <c r="CV142" s="190"/>
      <c r="CW142" s="190"/>
      <c r="CX142" s="190"/>
      <c r="CY142" s="190"/>
      <c r="CZ142" s="190"/>
      <c r="DA142" s="190"/>
      <c r="DB142" s="190"/>
      <c r="DC142" s="190"/>
      <c r="DD142" s="190"/>
      <c r="DE142" s="190"/>
      <c r="DF142" s="190"/>
      <c r="DG142" s="190"/>
      <c r="DH142" s="190"/>
      <c r="DI142" s="190"/>
      <c r="DJ142" s="190"/>
      <c r="DK142" s="190"/>
      <c r="DL142" s="190"/>
      <c r="DM142" s="190"/>
      <c r="DN142" s="190"/>
      <c r="DO142" s="190"/>
      <c r="DP142" s="190"/>
      <c r="DQ142" s="190"/>
      <c r="DR142" s="190"/>
      <c r="DS142" s="190"/>
      <c r="DT142" s="190"/>
      <c r="DU142" s="190"/>
      <c r="DV142" s="190"/>
      <c r="DW142" s="190"/>
      <c r="DX142" s="190"/>
      <c r="DY142" s="190"/>
      <c r="DZ142" s="190"/>
      <c r="EA142" s="190"/>
      <c r="EB142" s="190"/>
      <c r="EC142" s="190"/>
      <c r="ED142" s="190"/>
      <c r="EE142" s="190"/>
      <c r="EF142" s="190"/>
      <c r="EG142" s="190"/>
      <c r="EH142" s="190"/>
      <c r="EI142" s="190"/>
      <c r="EJ142" s="190"/>
      <c r="EK142" s="190"/>
      <c r="EL142" s="190"/>
      <c r="EM142" s="190"/>
      <c r="EN142" s="190"/>
      <c r="EO142" s="190"/>
      <c r="EP142" s="190"/>
      <c r="EQ142" s="190"/>
      <c r="ER142" s="190"/>
      <c r="ES142" s="190"/>
      <c r="ET142" s="190"/>
      <c r="EU142" s="190"/>
      <c r="EV142" s="190"/>
      <c r="EW142" s="190"/>
      <c r="EX142" s="190"/>
      <c r="EY142" s="190"/>
      <c r="EZ142" s="190"/>
      <c r="FA142" s="190"/>
      <c r="FB142" s="190"/>
      <c r="FC142" s="190"/>
      <c r="FD142" s="190"/>
      <c r="FE142" s="190"/>
      <c r="FF142" s="190"/>
      <c r="FG142" s="190"/>
      <c r="FH142" s="190"/>
      <c r="FI142" s="190"/>
      <c r="FJ142" s="190"/>
      <c r="FK142" s="190"/>
      <c r="FL142" s="190"/>
      <c r="FM142" s="190"/>
      <c r="FN142" s="190"/>
      <c r="FO142" s="190"/>
      <c r="FP142" s="190"/>
      <c r="FQ142" s="190"/>
      <c r="FR142" s="190"/>
      <c r="FS142" s="190"/>
      <c r="FT142" s="190"/>
      <c r="FU142" s="190"/>
      <c r="FV142" s="190"/>
      <c r="FW142" s="190"/>
      <c r="FX142" s="190"/>
      <c r="FY142" s="190"/>
      <c r="FZ142" s="190"/>
      <c r="GA142" s="190"/>
      <c r="GB142" s="190"/>
      <c r="GC142" s="190"/>
      <c r="GD142" s="190"/>
      <c r="GE142" s="190"/>
      <c r="GF142" s="190"/>
      <c r="GG142" s="190"/>
      <c r="GH142" s="190"/>
      <c r="GI142" s="190"/>
      <c r="GJ142" s="190"/>
      <c r="GK142" s="190"/>
      <c r="GL142" s="190"/>
      <c r="GM142" s="190"/>
      <c r="GN142" s="190"/>
      <c r="GO142" s="190"/>
      <c r="GP142" s="190"/>
      <c r="GQ142" s="190"/>
      <c r="GR142" s="190"/>
      <c r="GS142" s="190"/>
      <c r="GT142" s="190"/>
      <c r="GU142" s="190"/>
      <c r="GV142" s="190"/>
      <c r="GW142" s="190"/>
      <c r="GX142" s="190"/>
      <c r="GY142" s="190"/>
      <c r="GZ142" s="190"/>
      <c r="HA142" s="190"/>
      <c r="HB142" s="190"/>
      <c r="HC142" s="190"/>
      <c r="HD142" s="190"/>
      <c r="HE142" s="190"/>
      <c r="HF142" s="190"/>
      <c r="HG142" s="190"/>
      <c r="HH142" s="190"/>
      <c r="HI142" s="190"/>
      <c r="HJ142" s="190"/>
      <c r="HK142" s="190"/>
      <c r="HL142" s="190"/>
      <c r="HM142" s="190"/>
      <c r="HN142" s="190"/>
      <c r="HO142" s="190"/>
      <c r="HP142" s="190"/>
      <c r="HQ142" s="190"/>
      <c r="HR142" s="190"/>
      <c r="HS142" s="190"/>
      <c r="HT142" s="190"/>
      <c r="HU142" s="190"/>
      <c r="HV142" s="190"/>
      <c r="HW142" s="190"/>
      <c r="HX142" s="190"/>
      <c r="HY142" s="190"/>
      <c r="HZ142" s="190"/>
      <c r="IA142" s="190"/>
      <c r="IB142" s="190"/>
    </row>
    <row r="143" spans="1:236" s="137" customFormat="1" ht="14.25">
      <c r="A143" s="190"/>
      <c r="B143" s="190"/>
      <c r="C143" s="190"/>
      <c r="D143" s="190"/>
      <c r="E143" s="190"/>
      <c r="F143" s="190"/>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90"/>
      <c r="AP143" s="190"/>
      <c r="AQ143" s="190"/>
      <c r="AR143" s="190"/>
      <c r="AS143" s="190"/>
      <c r="AT143" s="190"/>
      <c r="AU143" s="190"/>
      <c r="AV143" s="190"/>
      <c r="AW143" s="190"/>
      <c r="AX143" s="190"/>
      <c r="AY143" s="190"/>
      <c r="AZ143" s="190"/>
      <c r="BA143" s="190"/>
      <c r="BB143" s="190"/>
      <c r="BC143" s="190"/>
      <c r="BD143" s="190"/>
      <c r="BE143" s="190"/>
      <c r="BF143" s="190"/>
      <c r="BG143" s="190"/>
      <c r="BH143" s="190"/>
      <c r="BI143" s="190"/>
      <c r="BJ143" s="190"/>
      <c r="BK143" s="190"/>
      <c r="BL143" s="190"/>
      <c r="BM143" s="190"/>
      <c r="BN143" s="190"/>
      <c r="BO143" s="190"/>
      <c r="BP143" s="190"/>
      <c r="BQ143" s="190"/>
      <c r="BR143" s="190"/>
      <c r="BS143" s="190"/>
      <c r="BT143" s="190"/>
      <c r="BU143" s="190"/>
      <c r="BV143" s="190"/>
      <c r="BW143" s="190"/>
      <c r="BX143" s="190"/>
      <c r="BY143" s="190"/>
      <c r="BZ143" s="190"/>
      <c r="CA143" s="190"/>
      <c r="CB143" s="190"/>
      <c r="CC143" s="190"/>
      <c r="CD143" s="190"/>
      <c r="CE143" s="190"/>
      <c r="CF143" s="190"/>
      <c r="CG143" s="190"/>
      <c r="CH143" s="190"/>
      <c r="CI143" s="190"/>
      <c r="CJ143" s="190"/>
      <c r="CK143" s="190"/>
      <c r="CL143" s="190"/>
      <c r="CM143" s="190"/>
      <c r="CN143" s="190"/>
      <c r="CO143" s="190"/>
      <c r="CP143" s="190"/>
      <c r="CQ143" s="190"/>
      <c r="CR143" s="190"/>
      <c r="CS143" s="190"/>
      <c r="CT143" s="190"/>
      <c r="CU143" s="190"/>
      <c r="CV143" s="190"/>
      <c r="CW143" s="190"/>
      <c r="CX143" s="190"/>
      <c r="CY143" s="190"/>
      <c r="CZ143" s="190"/>
      <c r="DA143" s="190"/>
      <c r="DB143" s="190"/>
      <c r="DC143" s="190"/>
      <c r="DD143" s="190"/>
      <c r="DE143" s="190"/>
      <c r="DF143" s="190"/>
      <c r="DG143" s="190"/>
      <c r="DH143" s="190"/>
      <c r="DI143" s="190"/>
      <c r="DJ143" s="190"/>
      <c r="DK143" s="190"/>
      <c r="DL143" s="190"/>
      <c r="DM143" s="190"/>
      <c r="DN143" s="190"/>
      <c r="DO143" s="190"/>
      <c r="DP143" s="190"/>
      <c r="DQ143" s="190"/>
      <c r="DR143" s="190"/>
      <c r="DS143" s="190"/>
      <c r="DT143" s="190"/>
      <c r="DU143" s="190"/>
      <c r="DV143" s="190"/>
      <c r="DW143" s="190"/>
      <c r="DX143" s="190"/>
      <c r="DY143" s="190"/>
      <c r="DZ143" s="190"/>
      <c r="EA143" s="190"/>
      <c r="EB143" s="190"/>
      <c r="EC143" s="190"/>
      <c r="ED143" s="190"/>
      <c r="EE143" s="190"/>
      <c r="EF143" s="190"/>
      <c r="EG143" s="190"/>
      <c r="EH143" s="190"/>
      <c r="EI143" s="190"/>
      <c r="EJ143" s="190"/>
      <c r="EK143" s="190"/>
      <c r="EL143" s="190"/>
      <c r="EM143" s="190"/>
      <c r="EN143" s="190"/>
      <c r="EO143" s="190"/>
      <c r="EP143" s="190"/>
      <c r="EQ143" s="190"/>
      <c r="ER143" s="190"/>
      <c r="ES143" s="190"/>
      <c r="ET143" s="190"/>
      <c r="EU143" s="190"/>
      <c r="EV143" s="190"/>
      <c r="EW143" s="190"/>
      <c r="EX143" s="190"/>
      <c r="EY143" s="190"/>
      <c r="EZ143" s="190"/>
      <c r="FA143" s="190"/>
      <c r="FB143" s="190"/>
      <c r="FC143" s="190"/>
      <c r="FD143" s="190"/>
      <c r="FE143" s="190"/>
      <c r="FF143" s="190"/>
      <c r="FG143" s="190"/>
      <c r="FH143" s="190"/>
      <c r="FI143" s="190"/>
      <c r="FJ143" s="190"/>
      <c r="FK143" s="190"/>
      <c r="FL143" s="190"/>
      <c r="FM143" s="190"/>
      <c r="FN143" s="190"/>
      <c r="FO143" s="190"/>
      <c r="FP143" s="190"/>
      <c r="FQ143" s="190"/>
      <c r="FR143" s="190"/>
      <c r="FS143" s="190"/>
      <c r="FT143" s="190"/>
      <c r="FU143" s="190"/>
      <c r="FV143" s="190"/>
      <c r="FW143" s="190"/>
      <c r="FX143" s="190"/>
      <c r="FY143" s="190"/>
      <c r="FZ143" s="190"/>
      <c r="GA143" s="190"/>
      <c r="GB143" s="190"/>
      <c r="GC143" s="190"/>
      <c r="GD143" s="190"/>
      <c r="GE143" s="190"/>
      <c r="GF143" s="190"/>
      <c r="GG143" s="190"/>
      <c r="GH143" s="190"/>
      <c r="GI143" s="190"/>
      <c r="GJ143" s="190"/>
      <c r="GK143" s="190"/>
      <c r="GL143" s="190"/>
      <c r="GM143" s="190"/>
      <c r="GN143" s="190"/>
      <c r="GO143" s="190"/>
      <c r="GP143" s="190"/>
      <c r="GQ143" s="190"/>
      <c r="GR143" s="190"/>
      <c r="GS143" s="190"/>
      <c r="GT143" s="190"/>
      <c r="GU143" s="190"/>
      <c r="GV143" s="190"/>
      <c r="GW143" s="190"/>
      <c r="GX143" s="190"/>
      <c r="GY143" s="190"/>
      <c r="GZ143" s="190"/>
      <c r="HA143" s="190"/>
      <c r="HB143" s="190"/>
      <c r="HC143" s="190"/>
      <c r="HD143" s="190"/>
      <c r="HE143" s="190"/>
      <c r="HF143" s="190"/>
      <c r="HG143" s="190"/>
      <c r="HH143" s="190"/>
      <c r="HI143" s="190"/>
      <c r="HJ143" s="190"/>
      <c r="HK143" s="190"/>
      <c r="HL143" s="190"/>
      <c r="HM143" s="190"/>
      <c r="HN143" s="190"/>
      <c r="HO143" s="190"/>
      <c r="HP143" s="190"/>
      <c r="HQ143" s="190"/>
      <c r="HR143" s="190"/>
      <c r="HS143" s="190"/>
      <c r="HT143" s="190"/>
      <c r="HU143" s="190"/>
      <c r="HV143" s="190"/>
      <c r="HW143" s="190"/>
      <c r="HX143" s="190"/>
      <c r="HY143" s="190"/>
      <c r="HZ143" s="190"/>
      <c r="IA143" s="190"/>
      <c r="IB143" s="190"/>
    </row>
    <row r="144" spans="1:236" s="137" customFormat="1" ht="14.25">
      <c r="A144" s="190"/>
      <c r="B144" s="190"/>
      <c r="C144" s="190"/>
      <c r="D144" s="190"/>
      <c r="E144" s="190"/>
      <c r="F144" s="190"/>
      <c r="G144" s="190"/>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0"/>
      <c r="AY144" s="190"/>
      <c r="AZ144" s="190"/>
      <c r="BA144" s="190"/>
      <c r="BB144" s="190"/>
      <c r="BC144" s="190"/>
      <c r="BD144" s="190"/>
      <c r="BE144" s="190"/>
      <c r="BF144" s="190"/>
      <c r="BG144" s="190"/>
      <c r="BH144" s="190"/>
      <c r="BI144" s="190"/>
      <c r="BJ144" s="190"/>
      <c r="BK144" s="190"/>
      <c r="BL144" s="190"/>
      <c r="BM144" s="190"/>
      <c r="BN144" s="190"/>
      <c r="BO144" s="190"/>
      <c r="BP144" s="190"/>
      <c r="BQ144" s="190"/>
      <c r="BR144" s="190"/>
      <c r="BS144" s="190"/>
      <c r="BT144" s="190"/>
      <c r="BU144" s="190"/>
      <c r="BV144" s="190"/>
      <c r="BW144" s="190"/>
      <c r="BX144" s="190"/>
      <c r="BY144" s="190"/>
      <c r="BZ144" s="190"/>
      <c r="CA144" s="190"/>
      <c r="CB144" s="190"/>
      <c r="CC144" s="190"/>
      <c r="CD144" s="190"/>
      <c r="CE144" s="190"/>
      <c r="CF144" s="190"/>
      <c r="CG144" s="190"/>
      <c r="CH144" s="190"/>
      <c r="CI144" s="190"/>
      <c r="CJ144" s="190"/>
      <c r="CK144" s="190"/>
      <c r="CL144" s="190"/>
      <c r="CM144" s="190"/>
      <c r="CN144" s="190"/>
      <c r="CO144" s="190"/>
      <c r="CP144" s="190"/>
      <c r="CQ144" s="190"/>
      <c r="CR144" s="190"/>
      <c r="CS144" s="190"/>
      <c r="CT144" s="190"/>
      <c r="CU144" s="190"/>
      <c r="CV144" s="190"/>
      <c r="CW144" s="190"/>
      <c r="CX144" s="190"/>
      <c r="CY144" s="190"/>
      <c r="CZ144" s="190"/>
      <c r="DA144" s="190"/>
      <c r="DB144" s="190"/>
      <c r="DC144" s="190"/>
      <c r="DD144" s="190"/>
      <c r="DE144" s="190"/>
      <c r="DF144" s="190"/>
      <c r="DG144" s="190"/>
      <c r="DH144" s="190"/>
      <c r="DI144" s="190"/>
      <c r="DJ144" s="190"/>
      <c r="DK144" s="190"/>
      <c r="DL144" s="190"/>
      <c r="DM144" s="190"/>
      <c r="DN144" s="190"/>
      <c r="DO144" s="190"/>
      <c r="DP144" s="190"/>
      <c r="DQ144" s="190"/>
      <c r="DR144" s="190"/>
      <c r="DS144" s="190"/>
      <c r="DT144" s="190"/>
      <c r="DU144" s="190"/>
      <c r="DV144" s="190"/>
      <c r="DW144" s="190"/>
      <c r="DX144" s="190"/>
      <c r="DY144" s="190"/>
      <c r="DZ144" s="190"/>
      <c r="EA144" s="190"/>
      <c r="EB144" s="190"/>
      <c r="EC144" s="190"/>
      <c r="ED144" s="190"/>
      <c r="EE144" s="190"/>
      <c r="EF144" s="190"/>
      <c r="EG144" s="190"/>
      <c r="EH144" s="190"/>
      <c r="EI144" s="190"/>
      <c r="EJ144" s="190"/>
      <c r="EK144" s="190"/>
      <c r="EL144" s="190"/>
      <c r="EM144" s="190"/>
      <c r="EN144" s="190"/>
      <c r="EO144" s="190"/>
      <c r="EP144" s="190"/>
      <c r="EQ144" s="190"/>
      <c r="ER144" s="190"/>
      <c r="ES144" s="190"/>
      <c r="ET144" s="190"/>
      <c r="EU144" s="190"/>
      <c r="EV144" s="190"/>
      <c r="EW144" s="190"/>
      <c r="EX144" s="190"/>
      <c r="EY144" s="190"/>
      <c r="EZ144" s="190"/>
      <c r="FA144" s="190"/>
      <c r="FB144" s="190"/>
      <c r="FC144" s="190"/>
      <c r="FD144" s="190"/>
      <c r="FE144" s="190"/>
      <c r="FF144" s="190"/>
      <c r="FG144" s="190"/>
      <c r="FH144" s="190"/>
      <c r="FI144" s="190"/>
      <c r="FJ144" s="190"/>
      <c r="FK144" s="190"/>
      <c r="FL144" s="190"/>
      <c r="FM144" s="190"/>
      <c r="FN144" s="190"/>
      <c r="FO144" s="190"/>
      <c r="FP144" s="190"/>
      <c r="FQ144" s="190"/>
      <c r="FR144" s="190"/>
      <c r="FS144" s="190"/>
      <c r="FT144" s="190"/>
      <c r="FU144" s="190"/>
      <c r="FV144" s="190"/>
      <c r="FW144" s="190"/>
      <c r="FX144" s="190"/>
      <c r="FY144" s="190"/>
      <c r="FZ144" s="190"/>
      <c r="GA144" s="190"/>
      <c r="GB144" s="190"/>
      <c r="GC144" s="190"/>
      <c r="GD144" s="190"/>
      <c r="GE144" s="190"/>
      <c r="GF144" s="190"/>
      <c r="GG144" s="190"/>
      <c r="GH144" s="190"/>
      <c r="GI144" s="190"/>
      <c r="GJ144" s="190"/>
      <c r="GK144" s="190"/>
      <c r="GL144" s="190"/>
      <c r="GM144" s="190"/>
      <c r="GN144" s="190"/>
      <c r="GO144" s="190"/>
      <c r="GP144" s="190"/>
      <c r="GQ144" s="190"/>
      <c r="GR144" s="190"/>
      <c r="GS144" s="190"/>
      <c r="GT144" s="190"/>
      <c r="GU144" s="190"/>
      <c r="GV144" s="190"/>
      <c r="GW144" s="190"/>
      <c r="GX144" s="190"/>
      <c r="GY144" s="190"/>
      <c r="GZ144" s="190"/>
      <c r="HA144" s="190"/>
      <c r="HB144" s="190"/>
      <c r="HC144" s="190"/>
      <c r="HD144" s="190"/>
      <c r="HE144" s="190"/>
      <c r="HF144" s="190"/>
      <c r="HG144" s="190"/>
      <c r="HH144" s="190"/>
      <c r="HI144" s="190"/>
      <c r="HJ144" s="190"/>
      <c r="HK144" s="190"/>
      <c r="HL144" s="190"/>
      <c r="HM144" s="190"/>
      <c r="HN144" s="190"/>
      <c r="HO144" s="190"/>
      <c r="HP144" s="190"/>
      <c r="HQ144" s="190"/>
      <c r="HR144" s="190"/>
      <c r="HS144" s="190"/>
      <c r="HT144" s="190"/>
      <c r="HU144" s="190"/>
      <c r="HV144" s="190"/>
      <c r="HW144" s="190"/>
      <c r="HX144" s="190"/>
      <c r="HY144" s="190"/>
      <c r="HZ144" s="190"/>
      <c r="IA144" s="190"/>
      <c r="IB144" s="190"/>
    </row>
    <row r="145" spans="1:236" s="137" customFormat="1" ht="14.25">
      <c r="A145" s="190"/>
      <c r="B145" s="190"/>
      <c r="C145" s="190"/>
      <c r="D145" s="190"/>
      <c r="E145" s="190"/>
      <c r="F145" s="190"/>
      <c r="G145" s="190"/>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0"/>
      <c r="AD145" s="190"/>
      <c r="AE145" s="190"/>
      <c r="AF145" s="190"/>
      <c r="AG145" s="190"/>
      <c r="AH145" s="190"/>
      <c r="AI145" s="190"/>
      <c r="AJ145" s="190"/>
      <c r="AK145" s="190"/>
      <c r="AL145" s="190"/>
      <c r="AM145" s="190"/>
      <c r="AN145" s="190"/>
      <c r="AO145" s="190"/>
      <c r="AP145" s="190"/>
      <c r="AQ145" s="190"/>
      <c r="AR145" s="190"/>
      <c r="AS145" s="190"/>
      <c r="AT145" s="190"/>
      <c r="AU145" s="190"/>
      <c r="AV145" s="190"/>
      <c r="AW145" s="190"/>
      <c r="AX145" s="190"/>
      <c r="AY145" s="190"/>
      <c r="AZ145" s="190"/>
      <c r="BA145" s="190"/>
      <c r="BB145" s="190"/>
      <c r="BC145" s="190"/>
      <c r="BD145" s="190"/>
      <c r="BE145" s="190"/>
      <c r="BF145" s="190"/>
      <c r="BG145" s="190"/>
      <c r="BH145" s="190"/>
      <c r="BI145" s="190"/>
      <c r="BJ145" s="190"/>
      <c r="BK145" s="190"/>
      <c r="BL145" s="190"/>
      <c r="BM145" s="190"/>
      <c r="BN145" s="190"/>
      <c r="BO145" s="190"/>
      <c r="BP145" s="190"/>
      <c r="BQ145" s="190"/>
      <c r="BR145" s="190"/>
      <c r="BS145" s="190"/>
      <c r="BT145" s="190"/>
      <c r="BU145" s="190"/>
      <c r="BV145" s="190"/>
      <c r="BW145" s="190"/>
      <c r="BX145" s="190"/>
      <c r="BY145" s="190"/>
      <c r="BZ145" s="190"/>
      <c r="CA145" s="190"/>
      <c r="CB145" s="190"/>
      <c r="CC145" s="190"/>
      <c r="CD145" s="190"/>
      <c r="CE145" s="190"/>
      <c r="CF145" s="190"/>
      <c r="CG145" s="190"/>
      <c r="CH145" s="190"/>
      <c r="CI145" s="190"/>
      <c r="CJ145" s="190"/>
      <c r="CK145" s="190"/>
      <c r="CL145" s="190"/>
      <c r="CM145" s="190"/>
      <c r="CN145" s="190"/>
      <c r="CO145" s="190"/>
      <c r="CP145" s="190"/>
      <c r="CQ145" s="190"/>
      <c r="CR145" s="190"/>
      <c r="CS145" s="190"/>
      <c r="CT145" s="190"/>
      <c r="CU145" s="190"/>
      <c r="CV145" s="190"/>
      <c r="CW145" s="190"/>
      <c r="CX145" s="190"/>
      <c r="CY145" s="190"/>
      <c r="CZ145" s="190"/>
      <c r="DA145" s="190"/>
      <c r="DB145" s="190"/>
      <c r="DC145" s="190"/>
      <c r="DD145" s="190"/>
      <c r="DE145" s="190"/>
      <c r="DF145" s="190"/>
      <c r="DG145" s="190"/>
      <c r="DH145" s="190"/>
      <c r="DI145" s="190"/>
      <c r="DJ145" s="190"/>
      <c r="DK145" s="190"/>
      <c r="DL145" s="190"/>
      <c r="DM145" s="190"/>
      <c r="DN145" s="190"/>
      <c r="DO145" s="190"/>
      <c r="DP145" s="190"/>
      <c r="DQ145" s="190"/>
      <c r="DR145" s="190"/>
      <c r="DS145" s="190"/>
      <c r="DT145" s="190"/>
      <c r="DU145" s="190"/>
      <c r="DV145" s="190"/>
      <c r="DW145" s="190"/>
      <c r="DX145" s="190"/>
      <c r="DY145" s="190"/>
      <c r="DZ145" s="190"/>
      <c r="EA145" s="190"/>
      <c r="EB145" s="190"/>
      <c r="EC145" s="190"/>
      <c r="ED145" s="190"/>
      <c r="EE145" s="190"/>
      <c r="EF145" s="190"/>
      <c r="EG145" s="190"/>
      <c r="EH145" s="190"/>
      <c r="EI145" s="190"/>
      <c r="EJ145" s="190"/>
      <c r="EK145" s="190"/>
      <c r="EL145" s="190"/>
      <c r="EM145" s="190"/>
      <c r="EN145" s="190"/>
      <c r="EO145" s="190"/>
      <c r="EP145" s="190"/>
      <c r="EQ145" s="190"/>
      <c r="ER145" s="190"/>
      <c r="ES145" s="190"/>
      <c r="ET145" s="190"/>
      <c r="EU145" s="190"/>
      <c r="EV145" s="190"/>
      <c r="EW145" s="190"/>
      <c r="EX145" s="190"/>
      <c r="EY145" s="190"/>
      <c r="EZ145" s="190"/>
      <c r="FA145" s="190"/>
      <c r="FB145" s="190"/>
      <c r="FC145" s="190"/>
      <c r="FD145" s="190"/>
      <c r="FE145" s="190"/>
      <c r="FF145" s="190"/>
      <c r="FG145" s="190"/>
      <c r="FH145" s="190"/>
      <c r="FI145" s="190"/>
      <c r="FJ145" s="190"/>
      <c r="FK145" s="190"/>
      <c r="FL145" s="190"/>
      <c r="FM145" s="190"/>
      <c r="FN145" s="190"/>
      <c r="FO145" s="190"/>
      <c r="FP145" s="190"/>
      <c r="FQ145" s="190"/>
      <c r="FR145" s="190"/>
      <c r="FS145" s="190"/>
      <c r="FT145" s="190"/>
      <c r="FU145" s="190"/>
      <c r="FV145" s="190"/>
      <c r="FW145" s="190"/>
      <c r="FX145" s="190"/>
      <c r="FY145" s="190"/>
      <c r="FZ145" s="190"/>
      <c r="GA145" s="190"/>
      <c r="GB145" s="190"/>
      <c r="GC145" s="190"/>
      <c r="GD145" s="190"/>
      <c r="GE145" s="190"/>
      <c r="GF145" s="190"/>
      <c r="GG145" s="190"/>
      <c r="GH145" s="190"/>
      <c r="GI145" s="190"/>
      <c r="GJ145" s="190"/>
      <c r="GK145" s="190"/>
      <c r="GL145" s="190"/>
      <c r="GM145" s="190"/>
      <c r="GN145" s="190"/>
      <c r="GO145" s="190"/>
      <c r="GP145" s="190"/>
      <c r="GQ145" s="190"/>
      <c r="GR145" s="190"/>
      <c r="GS145" s="190"/>
      <c r="GT145" s="190"/>
      <c r="GU145" s="190"/>
      <c r="GV145" s="190"/>
      <c r="GW145" s="190"/>
      <c r="GX145" s="190"/>
      <c r="GY145" s="190"/>
      <c r="GZ145" s="190"/>
      <c r="HA145" s="190"/>
      <c r="HB145" s="190"/>
      <c r="HC145" s="190"/>
      <c r="HD145" s="190"/>
      <c r="HE145" s="190"/>
      <c r="HF145" s="190"/>
      <c r="HG145" s="190"/>
      <c r="HH145" s="190"/>
      <c r="HI145" s="190"/>
      <c r="HJ145" s="190"/>
      <c r="HK145" s="190"/>
      <c r="HL145" s="190"/>
      <c r="HM145" s="190"/>
      <c r="HN145" s="190"/>
      <c r="HO145" s="190"/>
      <c r="HP145" s="190"/>
      <c r="HQ145" s="190"/>
      <c r="HR145" s="190"/>
      <c r="HS145" s="190"/>
      <c r="HT145" s="190"/>
      <c r="HU145" s="190"/>
      <c r="HV145" s="190"/>
      <c r="HW145" s="190"/>
      <c r="HX145" s="190"/>
      <c r="HY145" s="190"/>
      <c r="HZ145" s="190"/>
      <c r="IA145" s="190"/>
      <c r="IB145" s="190"/>
    </row>
    <row r="146" spans="1:236" s="137" customFormat="1" ht="14.25">
      <c r="A146" s="190"/>
      <c r="B146" s="190"/>
      <c r="C146" s="190"/>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190"/>
      <c r="AE146" s="190"/>
      <c r="AF146" s="190"/>
      <c r="AG146" s="190"/>
      <c r="AH146" s="190"/>
      <c r="AI146" s="190"/>
      <c r="AJ146" s="190"/>
      <c r="AK146" s="190"/>
      <c r="AL146" s="190"/>
      <c r="AM146" s="190"/>
      <c r="AN146" s="190"/>
      <c r="AO146" s="190"/>
      <c r="AP146" s="190"/>
      <c r="AQ146" s="190"/>
      <c r="AR146" s="190"/>
      <c r="AS146" s="190"/>
      <c r="AT146" s="190"/>
      <c r="AU146" s="190"/>
      <c r="AV146" s="190"/>
      <c r="AW146" s="190"/>
      <c r="AX146" s="190"/>
      <c r="AY146" s="190"/>
      <c r="AZ146" s="190"/>
      <c r="BA146" s="190"/>
      <c r="BB146" s="190"/>
      <c r="BC146" s="190"/>
      <c r="BD146" s="190"/>
      <c r="BE146" s="190"/>
      <c r="BF146" s="190"/>
      <c r="BG146" s="190"/>
      <c r="BH146" s="190"/>
      <c r="BI146" s="190"/>
      <c r="BJ146" s="190"/>
      <c r="BK146" s="190"/>
      <c r="BL146" s="190"/>
      <c r="BM146" s="190"/>
      <c r="BN146" s="190"/>
      <c r="BO146" s="190"/>
      <c r="BP146" s="190"/>
      <c r="BQ146" s="190"/>
      <c r="BR146" s="190"/>
      <c r="BS146" s="190"/>
      <c r="BT146" s="190"/>
      <c r="BU146" s="190"/>
      <c r="BV146" s="190"/>
      <c r="BW146" s="190"/>
      <c r="BX146" s="190"/>
      <c r="BY146" s="190"/>
      <c r="BZ146" s="190"/>
      <c r="CA146" s="190"/>
      <c r="CB146" s="190"/>
      <c r="CC146" s="190"/>
      <c r="CD146" s="190"/>
      <c r="CE146" s="190"/>
      <c r="CF146" s="190"/>
      <c r="CG146" s="190"/>
      <c r="CH146" s="190"/>
      <c r="CI146" s="190"/>
      <c r="CJ146" s="190"/>
      <c r="CK146" s="190"/>
      <c r="CL146" s="190"/>
      <c r="CM146" s="190"/>
      <c r="CN146" s="190"/>
      <c r="CO146" s="190"/>
      <c r="CP146" s="190"/>
      <c r="CQ146" s="190"/>
      <c r="CR146" s="190"/>
      <c r="CS146" s="190"/>
      <c r="CT146" s="190"/>
      <c r="CU146" s="190"/>
      <c r="CV146" s="190"/>
      <c r="CW146" s="190"/>
      <c r="CX146" s="190"/>
      <c r="CY146" s="190"/>
      <c r="CZ146" s="190"/>
      <c r="DA146" s="190"/>
      <c r="DB146" s="190"/>
      <c r="DC146" s="190"/>
      <c r="DD146" s="190"/>
      <c r="DE146" s="190"/>
      <c r="DF146" s="190"/>
      <c r="DG146" s="190"/>
      <c r="DH146" s="190"/>
      <c r="DI146" s="190"/>
      <c r="DJ146" s="190"/>
      <c r="DK146" s="190"/>
      <c r="DL146" s="190"/>
      <c r="DM146" s="190"/>
      <c r="DN146" s="190"/>
      <c r="DO146" s="190"/>
      <c r="DP146" s="190"/>
      <c r="DQ146" s="190"/>
      <c r="DR146" s="190"/>
      <c r="DS146" s="190"/>
      <c r="DT146" s="190"/>
      <c r="DU146" s="190"/>
      <c r="DV146" s="190"/>
      <c r="DW146" s="190"/>
      <c r="DX146" s="190"/>
      <c r="DY146" s="190"/>
      <c r="DZ146" s="190"/>
      <c r="EA146" s="190"/>
      <c r="EB146" s="190"/>
      <c r="EC146" s="190"/>
      <c r="ED146" s="190"/>
      <c r="EE146" s="190"/>
      <c r="EF146" s="190"/>
      <c r="EG146" s="190"/>
      <c r="EH146" s="190"/>
      <c r="EI146" s="190"/>
      <c r="EJ146" s="190"/>
      <c r="EK146" s="190"/>
      <c r="EL146" s="190"/>
      <c r="EM146" s="190"/>
      <c r="EN146" s="190"/>
      <c r="EO146" s="190"/>
      <c r="EP146" s="190"/>
      <c r="EQ146" s="190"/>
      <c r="ER146" s="190"/>
      <c r="ES146" s="190"/>
      <c r="ET146" s="190"/>
      <c r="EU146" s="190"/>
      <c r="EV146" s="190"/>
      <c r="EW146" s="190"/>
      <c r="EX146" s="190"/>
      <c r="EY146" s="190"/>
      <c r="EZ146" s="190"/>
      <c r="FA146" s="190"/>
      <c r="FB146" s="190"/>
      <c r="FC146" s="190"/>
      <c r="FD146" s="190"/>
      <c r="FE146" s="190"/>
      <c r="FF146" s="190"/>
      <c r="FG146" s="190"/>
      <c r="FH146" s="190"/>
      <c r="FI146" s="190"/>
      <c r="FJ146" s="190"/>
      <c r="FK146" s="190"/>
      <c r="FL146" s="190"/>
      <c r="FM146" s="190"/>
      <c r="FN146" s="190"/>
      <c r="FO146" s="190"/>
      <c r="FP146" s="190"/>
      <c r="FQ146" s="190"/>
      <c r="FR146" s="190"/>
      <c r="FS146" s="190"/>
      <c r="FT146" s="190"/>
      <c r="FU146" s="190"/>
      <c r="FV146" s="190"/>
      <c r="FW146" s="190"/>
      <c r="FX146" s="190"/>
      <c r="FY146" s="190"/>
      <c r="FZ146" s="190"/>
      <c r="GA146" s="190"/>
      <c r="GB146" s="190"/>
      <c r="GC146" s="190"/>
      <c r="GD146" s="190"/>
      <c r="GE146" s="190"/>
      <c r="GF146" s="190"/>
      <c r="GG146" s="190"/>
      <c r="GH146" s="190"/>
      <c r="GI146" s="190"/>
      <c r="GJ146" s="190"/>
      <c r="GK146" s="190"/>
      <c r="GL146" s="190"/>
      <c r="GM146" s="190"/>
      <c r="GN146" s="190"/>
      <c r="GO146" s="190"/>
      <c r="GP146" s="190"/>
      <c r="GQ146" s="190"/>
      <c r="GR146" s="190"/>
      <c r="GS146" s="190"/>
      <c r="GT146" s="190"/>
      <c r="GU146" s="190"/>
      <c r="GV146" s="190"/>
      <c r="GW146" s="190"/>
      <c r="GX146" s="190"/>
      <c r="GY146" s="190"/>
      <c r="GZ146" s="190"/>
      <c r="HA146" s="190"/>
      <c r="HB146" s="190"/>
      <c r="HC146" s="190"/>
      <c r="HD146" s="190"/>
      <c r="HE146" s="190"/>
      <c r="HF146" s="190"/>
      <c r="HG146" s="190"/>
      <c r="HH146" s="190"/>
      <c r="HI146" s="190"/>
      <c r="HJ146" s="190"/>
      <c r="HK146" s="190"/>
      <c r="HL146" s="190"/>
      <c r="HM146" s="190"/>
      <c r="HN146" s="190"/>
      <c r="HO146" s="190"/>
      <c r="HP146" s="190"/>
      <c r="HQ146" s="190"/>
      <c r="HR146" s="190"/>
      <c r="HS146" s="190"/>
      <c r="HT146" s="190"/>
      <c r="HU146" s="190"/>
      <c r="HV146" s="190"/>
      <c r="HW146" s="190"/>
      <c r="HX146" s="190"/>
      <c r="HY146" s="190"/>
      <c r="HZ146" s="190"/>
      <c r="IA146" s="190"/>
      <c r="IB146" s="190"/>
    </row>
    <row r="147" spans="1:236" s="137" customFormat="1" ht="14.25">
      <c r="A147" s="190"/>
      <c r="B147" s="190"/>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190"/>
      <c r="AH147" s="190"/>
      <c r="AI147" s="190"/>
      <c r="AJ147" s="190"/>
      <c r="AK147" s="190"/>
      <c r="AL147" s="190"/>
      <c r="AM147" s="190"/>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c r="BO147" s="190"/>
      <c r="BP147" s="190"/>
      <c r="BQ147" s="190"/>
      <c r="BR147" s="190"/>
      <c r="BS147" s="190"/>
      <c r="BT147" s="190"/>
      <c r="BU147" s="190"/>
      <c r="BV147" s="190"/>
      <c r="BW147" s="190"/>
      <c r="BX147" s="190"/>
      <c r="BY147" s="190"/>
      <c r="BZ147" s="190"/>
      <c r="CA147" s="190"/>
      <c r="CB147" s="190"/>
      <c r="CC147" s="190"/>
      <c r="CD147" s="190"/>
      <c r="CE147" s="190"/>
      <c r="CF147" s="190"/>
      <c r="CG147" s="190"/>
      <c r="CH147" s="190"/>
      <c r="CI147" s="190"/>
      <c r="CJ147" s="190"/>
      <c r="CK147" s="190"/>
      <c r="CL147" s="190"/>
      <c r="CM147" s="190"/>
      <c r="CN147" s="190"/>
      <c r="CO147" s="190"/>
      <c r="CP147" s="190"/>
      <c r="CQ147" s="190"/>
      <c r="CR147" s="190"/>
      <c r="CS147" s="190"/>
      <c r="CT147" s="190"/>
      <c r="CU147" s="190"/>
      <c r="CV147" s="190"/>
      <c r="CW147" s="190"/>
      <c r="CX147" s="190"/>
      <c r="CY147" s="190"/>
      <c r="CZ147" s="190"/>
      <c r="DA147" s="190"/>
      <c r="DB147" s="190"/>
      <c r="DC147" s="190"/>
      <c r="DD147" s="190"/>
      <c r="DE147" s="190"/>
      <c r="DF147" s="190"/>
      <c r="DG147" s="190"/>
      <c r="DH147" s="190"/>
      <c r="DI147" s="190"/>
      <c r="DJ147" s="190"/>
      <c r="DK147" s="190"/>
      <c r="DL147" s="190"/>
      <c r="DM147" s="190"/>
      <c r="DN147" s="190"/>
      <c r="DO147" s="190"/>
      <c r="DP147" s="190"/>
      <c r="DQ147" s="190"/>
      <c r="DR147" s="190"/>
      <c r="DS147" s="190"/>
      <c r="DT147" s="190"/>
      <c r="DU147" s="190"/>
      <c r="DV147" s="190"/>
      <c r="DW147" s="190"/>
      <c r="DX147" s="190"/>
      <c r="DY147" s="190"/>
      <c r="DZ147" s="190"/>
      <c r="EA147" s="190"/>
      <c r="EB147" s="190"/>
      <c r="EC147" s="190"/>
      <c r="ED147" s="190"/>
      <c r="EE147" s="190"/>
      <c r="EF147" s="190"/>
      <c r="EG147" s="190"/>
      <c r="EH147" s="190"/>
      <c r="EI147" s="190"/>
      <c r="EJ147" s="190"/>
      <c r="EK147" s="190"/>
      <c r="EL147" s="190"/>
      <c r="EM147" s="190"/>
      <c r="EN147" s="190"/>
      <c r="EO147" s="190"/>
      <c r="EP147" s="190"/>
      <c r="EQ147" s="190"/>
      <c r="ER147" s="190"/>
      <c r="ES147" s="190"/>
      <c r="ET147" s="190"/>
      <c r="EU147" s="190"/>
      <c r="EV147" s="190"/>
      <c r="EW147" s="190"/>
      <c r="EX147" s="190"/>
      <c r="EY147" s="190"/>
      <c r="EZ147" s="190"/>
      <c r="FA147" s="190"/>
      <c r="FB147" s="190"/>
      <c r="FC147" s="190"/>
      <c r="FD147" s="190"/>
      <c r="FE147" s="190"/>
      <c r="FF147" s="190"/>
      <c r="FG147" s="190"/>
      <c r="FH147" s="190"/>
      <c r="FI147" s="190"/>
      <c r="FJ147" s="190"/>
      <c r="FK147" s="190"/>
      <c r="FL147" s="190"/>
      <c r="FM147" s="190"/>
      <c r="FN147" s="190"/>
      <c r="FO147" s="190"/>
      <c r="FP147" s="190"/>
      <c r="FQ147" s="190"/>
      <c r="FR147" s="190"/>
      <c r="FS147" s="190"/>
      <c r="FT147" s="190"/>
      <c r="FU147" s="190"/>
      <c r="FV147" s="190"/>
      <c r="FW147" s="190"/>
      <c r="FX147" s="190"/>
      <c r="FY147" s="190"/>
      <c r="FZ147" s="190"/>
      <c r="GA147" s="190"/>
      <c r="GB147" s="190"/>
      <c r="GC147" s="190"/>
      <c r="GD147" s="190"/>
      <c r="GE147" s="190"/>
      <c r="GF147" s="190"/>
      <c r="GG147" s="190"/>
      <c r="GH147" s="190"/>
      <c r="GI147" s="190"/>
      <c r="GJ147" s="190"/>
      <c r="GK147" s="190"/>
      <c r="GL147" s="190"/>
      <c r="GM147" s="190"/>
      <c r="GN147" s="190"/>
      <c r="GO147" s="190"/>
      <c r="GP147" s="190"/>
      <c r="GQ147" s="190"/>
      <c r="GR147" s="190"/>
      <c r="GS147" s="190"/>
      <c r="GT147" s="190"/>
      <c r="GU147" s="190"/>
      <c r="GV147" s="190"/>
      <c r="GW147" s="190"/>
      <c r="GX147" s="190"/>
      <c r="GY147" s="190"/>
      <c r="GZ147" s="190"/>
      <c r="HA147" s="190"/>
      <c r="HB147" s="190"/>
      <c r="HC147" s="190"/>
      <c r="HD147" s="190"/>
      <c r="HE147" s="190"/>
      <c r="HF147" s="190"/>
      <c r="HG147" s="190"/>
      <c r="HH147" s="190"/>
      <c r="HI147" s="190"/>
      <c r="HJ147" s="190"/>
      <c r="HK147" s="190"/>
      <c r="HL147" s="190"/>
      <c r="HM147" s="190"/>
      <c r="HN147" s="190"/>
      <c r="HO147" s="190"/>
      <c r="HP147" s="190"/>
      <c r="HQ147" s="190"/>
      <c r="HR147" s="190"/>
      <c r="HS147" s="190"/>
      <c r="HT147" s="190"/>
      <c r="HU147" s="190"/>
      <c r="HV147" s="190"/>
      <c r="HW147" s="190"/>
      <c r="HX147" s="190"/>
      <c r="HY147" s="190"/>
      <c r="HZ147" s="190"/>
      <c r="IA147" s="190"/>
      <c r="IB147" s="190"/>
    </row>
    <row r="148" spans="1:236" s="137" customFormat="1" ht="14.25">
      <c r="A148" s="190"/>
      <c r="B148" s="190"/>
      <c r="C148" s="190"/>
      <c r="D148" s="190"/>
      <c r="E148" s="190"/>
      <c r="F148" s="190"/>
      <c r="G148" s="190"/>
      <c r="H148" s="190"/>
      <c r="I148" s="190"/>
      <c r="J148" s="190"/>
      <c r="K148" s="190"/>
      <c r="L148" s="190"/>
      <c r="M148" s="190"/>
      <c r="N148" s="190"/>
      <c r="O148" s="190"/>
      <c r="P148" s="190"/>
      <c r="Q148" s="190"/>
      <c r="R148" s="190"/>
      <c r="S148" s="190"/>
      <c r="T148" s="190"/>
      <c r="U148" s="190"/>
      <c r="V148" s="190"/>
      <c r="W148" s="190"/>
      <c r="X148" s="190"/>
      <c r="Y148" s="190"/>
      <c r="Z148" s="190"/>
      <c r="AA148" s="190"/>
      <c r="AB148" s="190"/>
      <c r="AC148" s="190"/>
      <c r="AD148" s="190"/>
      <c r="AE148" s="190"/>
      <c r="AF148" s="190"/>
      <c r="AG148" s="190"/>
      <c r="AH148" s="190"/>
      <c r="AI148" s="190"/>
      <c r="AJ148" s="190"/>
      <c r="AK148" s="190"/>
      <c r="AL148" s="190"/>
      <c r="AM148" s="190"/>
      <c r="AN148" s="190"/>
      <c r="AO148" s="190"/>
      <c r="AP148" s="190"/>
      <c r="AQ148" s="190"/>
      <c r="AR148" s="190"/>
      <c r="AS148" s="190"/>
      <c r="AT148" s="190"/>
      <c r="AU148" s="190"/>
      <c r="AV148" s="190"/>
      <c r="AW148" s="190"/>
      <c r="AX148" s="190"/>
      <c r="AY148" s="190"/>
      <c r="AZ148" s="190"/>
      <c r="BA148" s="190"/>
      <c r="BB148" s="190"/>
      <c r="BC148" s="190"/>
      <c r="BD148" s="190"/>
      <c r="BE148" s="190"/>
      <c r="BF148" s="190"/>
      <c r="BG148" s="190"/>
      <c r="BH148" s="190"/>
      <c r="BI148" s="190"/>
      <c r="BJ148" s="190"/>
      <c r="BK148" s="190"/>
      <c r="BL148" s="190"/>
      <c r="BM148" s="190"/>
      <c r="BN148" s="190"/>
      <c r="BO148" s="190"/>
      <c r="BP148" s="190"/>
      <c r="BQ148" s="190"/>
      <c r="BR148" s="190"/>
      <c r="BS148" s="190"/>
      <c r="BT148" s="190"/>
      <c r="BU148" s="190"/>
      <c r="BV148" s="190"/>
      <c r="BW148" s="190"/>
      <c r="BX148" s="190"/>
      <c r="BY148" s="190"/>
      <c r="BZ148" s="190"/>
      <c r="CA148" s="190"/>
      <c r="CB148" s="190"/>
      <c r="CC148" s="190"/>
      <c r="CD148" s="190"/>
      <c r="CE148" s="190"/>
      <c r="CF148" s="190"/>
      <c r="CG148" s="190"/>
      <c r="CH148" s="190"/>
      <c r="CI148" s="190"/>
      <c r="CJ148" s="190"/>
      <c r="CK148" s="190"/>
      <c r="CL148" s="190"/>
      <c r="CM148" s="190"/>
      <c r="CN148" s="190"/>
      <c r="CO148" s="190"/>
      <c r="CP148" s="190"/>
      <c r="CQ148" s="190"/>
      <c r="CR148" s="190"/>
      <c r="CS148" s="190"/>
      <c r="CT148" s="190"/>
      <c r="CU148" s="190"/>
      <c r="CV148" s="190"/>
      <c r="CW148" s="190"/>
      <c r="CX148" s="190"/>
      <c r="CY148" s="190"/>
      <c r="CZ148" s="190"/>
      <c r="DA148" s="190"/>
      <c r="DB148" s="190"/>
      <c r="DC148" s="190"/>
      <c r="DD148" s="190"/>
      <c r="DE148" s="190"/>
      <c r="DF148" s="190"/>
      <c r="DG148" s="190"/>
      <c r="DH148" s="190"/>
      <c r="DI148" s="190"/>
      <c r="DJ148" s="190"/>
      <c r="DK148" s="190"/>
      <c r="DL148" s="190"/>
      <c r="DM148" s="190"/>
      <c r="DN148" s="190"/>
      <c r="DO148" s="190"/>
      <c r="DP148" s="190"/>
      <c r="DQ148" s="190"/>
      <c r="DR148" s="190"/>
      <c r="DS148" s="190"/>
      <c r="DT148" s="190"/>
      <c r="DU148" s="190"/>
      <c r="DV148" s="190"/>
      <c r="DW148" s="190"/>
      <c r="DX148" s="190"/>
      <c r="DY148" s="190"/>
      <c r="DZ148" s="190"/>
      <c r="EA148" s="190"/>
      <c r="EB148" s="190"/>
      <c r="EC148" s="190"/>
      <c r="ED148" s="190"/>
      <c r="EE148" s="190"/>
      <c r="EF148" s="190"/>
      <c r="EG148" s="190"/>
      <c r="EH148" s="190"/>
      <c r="EI148" s="190"/>
      <c r="EJ148" s="190"/>
      <c r="EK148" s="190"/>
      <c r="EL148" s="190"/>
      <c r="EM148" s="190"/>
      <c r="EN148" s="190"/>
      <c r="EO148" s="190"/>
      <c r="EP148" s="190"/>
      <c r="EQ148" s="190"/>
      <c r="ER148" s="190"/>
      <c r="ES148" s="190"/>
      <c r="ET148" s="190"/>
      <c r="EU148" s="190"/>
      <c r="EV148" s="190"/>
      <c r="EW148" s="190"/>
      <c r="EX148" s="190"/>
      <c r="EY148" s="190"/>
      <c r="EZ148" s="190"/>
      <c r="FA148" s="190"/>
      <c r="FB148" s="190"/>
      <c r="FC148" s="190"/>
      <c r="FD148" s="190"/>
      <c r="FE148" s="190"/>
      <c r="FF148" s="190"/>
      <c r="FG148" s="190"/>
      <c r="FH148" s="190"/>
      <c r="FI148" s="190"/>
      <c r="FJ148" s="190"/>
      <c r="FK148" s="190"/>
      <c r="FL148" s="190"/>
      <c r="FM148" s="190"/>
      <c r="FN148" s="190"/>
      <c r="FO148" s="190"/>
      <c r="FP148" s="190"/>
      <c r="FQ148" s="190"/>
      <c r="FR148" s="190"/>
      <c r="FS148" s="190"/>
      <c r="FT148" s="190"/>
      <c r="FU148" s="190"/>
      <c r="FV148" s="190"/>
      <c r="FW148" s="190"/>
      <c r="FX148" s="190"/>
      <c r="FY148" s="190"/>
      <c r="FZ148" s="190"/>
      <c r="GA148" s="190"/>
      <c r="GB148" s="190"/>
      <c r="GC148" s="190"/>
      <c r="GD148" s="190"/>
      <c r="GE148" s="190"/>
      <c r="GF148" s="190"/>
      <c r="GG148" s="190"/>
      <c r="GH148" s="190"/>
      <c r="GI148" s="190"/>
      <c r="GJ148" s="190"/>
      <c r="GK148" s="190"/>
      <c r="GL148" s="190"/>
      <c r="GM148" s="190"/>
      <c r="GN148" s="190"/>
      <c r="GO148" s="190"/>
      <c r="GP148" s="190"/>
      <c r="GQ148" s="190"/>
      <c r="GR148" s="190"/>
      <c r="GS148" s="190"/>
      <c r="GT148" s="190"/>
      <c r="GU148" s="190"/>
      <c r="GV148" s="190"/>
      <c r="GW148" s="190"/>
      <c r="GX148" s="190"/>
      <c r="GY148" s="190"/>
      <c r="GZ148" s="190"/>
      <c r="HA148" s="190"/>
      <c r="HB148" s="190"/>
      <c r="HC148" s="190"/>
      <c r="HD148" s="190"/>
      <c r="HE148" s="190"/>
      <c r="HF148" s="190"/>
      <c r="HG148" s="190"/>
      <c r="HH148" s="190"/>
      <c r="HI148" s="190"/>
      <c r="HJ148" s="190"/>
      <c r="HK148" s="190"/>
      <c r="HL148" s="190"/>
      <c r="HM148" s="190"/>
      <c r="HN148" s="190"/>
      <c r="HO148" s="190"/>
      <c r="HP148" s="190"/>
      <c r="HQ148" s="190"/>
      <c r="HR148" s="190"/>
      <c r="HS148" s="190"/>
      <c r="HT148" s="190"/>
      <c r="HU148" s="190"/>
      <c r="HV148" s="190"/>
      <c r="HW148" s="190"/>
      <c r="HX148" s="190"/>
      <c r="HY148" s="190"/>
      <c r="HZ148" s="190"/>
      <c r="IA148" s="190"/>
      <c r="IB148" s="190"/>
    </row>
    <row r="149" spans="1:236" s="137" customFormat="1" ht="14.25">
      <c r="A149" s="190"/>
      <c r="B149" s="190"/>
      <c r="C149" s="190"/>
      <c r="D149" s="190"/>
      <c r="E149" s="190"/>
      <c r="F149" s="190"/>
      <c r="G149" s="190"/>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0"/>
      <c r="AP149" s="190"/>
      <c r="AQ149" s="190"/>
      <c r="AR149" s="190"/>
      <c r="AS149" s="190"/>
      <c r="AT149" s="190"/>
      <c r="AU149" s="190"/>
      <c r="AV149" s="190"/>
      <c r="AW149" s="190"/>
      <c r="AX149" s="190"/>
      <c r="AY149" s="190"/>
      <c r="AZ149" s="190"/>
      <c r="BA149" s="190"/>
      <c r="BB149" s="190"/>
      <c r="BC149" s="190"/>
      <c r="BD149" s="190"/>
      <c r="BE149" s="190"/>
      <c r="BF149" s="190"/>
      <c r="BG149" s="190"/>
      <c r="BH149" s="190"/>
      <c r="BI149" s="190"/>
      <c r="BJ149" s="190"/>
      <c r="BK149" s="190"/>
      <c r="BL149" s="190"/>
      <c r="BM149" s="190"/>
      <c r="BN149" s="190"/>
      <c r="BO149" s="190"/>
      <c r="BP149" s="190"/>
      <c r="BQ149" s="190"/>
      <c r="BR149" s="190"/>
      <c r="BS149" s="190"/>
      <c r="BT149" s="190"/>
      <c r="BU149" s="190"/>
      <c r="BV149" s="190"/>
      <c r="BW149" s="190"/>
      <c r="BX149" s="190"/>
      <c r="BY149" s="190"/>
      <c r="BZ149" s="190"/>
      <c r="CA149" s="190"/>
      <c r="CB149" s="190"/>
      <c r="CC149" s="190"/>
      <c r="CD149" s="190"/>
      <c r="CE149" s="190"/>
      <c r="CF149" s="190"/>
      <c r="CG149" s="190"/>
      <c r="CH149" s="190"/>
      <c r="CI149" s="190"/>
      <c r="CJ149" s="190"/>
      <c r="CK149" s="190"/>
      <c r="CL149" s="190"/>
      <c r="CM149" s="190"/>
      <c r="CN149" s="190"/>
      <c r="CO149" s="190"/>
      <c r="CP149" s="190"/>
      <c r="CQ149" s="190"/>
      <c r="CR149" s="190"/>
      <c r="CS149" s="190"/>
      <c r="CT149" s="190"/>
      <c r="CU149" s="190"/>
      <c r="CV149" s="190"/>
      <c r="CW149" s="190"/>
      <c r="CX149" s="190"/>
      <c r="CY149" s="190"/>
      <c r="CZ149" s="190"/>
      <c r="DA149" s="190"/>
      <c r="DB149" s="190"/>
      <c r="DC149" s="190"/>
      <c r="DD149" s="190"/>
      <c r="DE149" s="190"/>
      <c r="DF149" s="190"/>
      <c r="DG149" s="190"/>
      <c r="DH149" s="190"/>
      <c r="DI149" s="190"/>
      <c r="DJ149" s="190"/>
      <c r="DK149" s="190"/>
      <c r="DL149" s="190"/>
      <c r="DM149" s="190"/>
      <c r="DN149" s="190"/>
      <c r="DO149" s="190"/>
      <c r="DP149" s="190"/>
      <c r="DQ149" s="190"/>
      <c r="DR149" s="190"/>
      <c r="DS149" s="190"/>
      <c r="DT149" s="190"/>
      <c r="DU149" s="190"/>
      <c r="DV149" s="190"/>
      <c r="DW149" s="190"/>
      <c r="DX149" s="190"/>
      <c r="DY149" s="190"/>
      <c r="DZ149" s="190"/>
      <c r="EA149" s="190"/>
      <c r="EB149" s="190"/>
      <c r="EC149" s="190"/>
      <c r="ED149" s="190"/>
      <c r="EE149" s="190"/>
      <c r="EF149" s="190"/>
      <c r="EG149" s="190"/>
      <c r="EH149" s="190"/>
      <c r="EI149" s="190"/>
      <c r="EJ149" s="190"/>
      <c r="EK149" s="190"/>
      <c r="EL149" s="190"/>
      <c r="EM149" s="190"/>
      <c r="EN149" s="190"/>
      <c r="EO149" s="190"/>
      <c r="EP149" s="190"/>
      <c r="EQ149" s="190"/>
      <c r="ER149" s="190"/>
      <c r="ES149" s="190"/>
      <c r="ET149" s="190"/>
      <c r="EU149" s="190"/>
      <c r="EV149" s="190"/>
      <c r="EW149" s="190"/>
      <c r="EX149" s="190"/>
      <c r="EY149" s="190"/>
      <c r="EZ149" s="190"/>
      <c r="FA149" s="190"/>
      <c r="FB149" s="190"/>
      <c r="FC149" s="190"/>
      <c r="FD149" s="190"/>
      <c r="FE149" s="190"/>
      <c r="FF149" s="190"/>
      <c r="FG149" s="190"/>
      <c r="FH149" s="190"/>
      <c r="FI149" s="190"/>
      <c r="FJ149" s="190"/>
      <c r="FK149" s="190"/>
      <c r="FL149" s="190"/>
      <c r="FM149" s="190"/>
      <c r="FN149" s="190"/>
      <c r="FO149" s="190"/>
      <c r="FP149" s="190"/>
      <c r="FQ149" s="190"/>
      <c r="FR149" s="190"/>
      <c r="FS149" s="190"/>
      <c r="FT149" s="190"/>
      <c r="FU149" s="190"/>
      <c r="FV149" s="190"/>
      <c r="FW149" s="190"/>
      <c r="FX149" s="190"/>
      <c r="FY149" s="190"/>
      <c r="FZ149" s="190"/>
      <c r="GA149" s="190"/>
      <c r="GB149" s="190"/>
      <c r="GC149" s="190"/>
      <c r="GD149" s="190"/>
      <c r="GE149" s="190"/>
      <c r="GF149" s="190"/>
      <c r="GG149" s="190"/>
      <c r="GH149" s="190"/>
      <c r="GI149" s="190"/>
      <c r="GJ149" s="190"/>
      <c r="GK149" s="190"/>
      <c r="GL149" s="190"/>
      <c r="GM149" s="190"/>
      <c r="GN149" s="190"/>
      <c r="GO149" s="190"/>
      <c r="GP149" s="190"/>
      <c r="GQ149" s="190"/>
      <c r="GR149" s="190"/>
      <c r="GS149" s="190"/>
      <c r="GT149" s="190"/>
      <c r="GU149" s="190"/>
      <c r="GV149" s="190"/>
      <c r="GW149" s="190"/>
      <c r="GX149" s="190"/>
      <c r="GY149" s="190"/>
      <c r="GZ149" s="190"/>
      <c r="HA149" s="190"/>
      <c r="HB149" s="190"/>
      <c r="HC149" s="190"/>
      <c r="HD149" s="190"/>
      <c r="HE149" s="190"/>
      <c r="HF149" s="190"/>
      <c r="HG149" s="190"/>
      <c r="HH149" s="190"/>
      <c r="HI149" s="190"/>
      <c r="HJ149" s="190"/>
      <c r="HK149" s="190"/>
      <c r="HL149" s="190"/>
      <c r="HM149" s="190"/>
      <c r="HN149" s="190"/>
      <c r="HO149" s="190"/>
      <c r="HP149" s="190"/>
      <c r="HQ149" s="190"/>
      <c r="HR149" s="190"/>
      <c r="HS149" s="190"/>
      <c r="HT149" s="190"/>
      <c r="HU149" s="190"/>
      <c r="HV149" s="190"/>
      <c r="HW149" s="190"/>
      <c r="HX149" s="190"/>
      <c r="HY149" s="190"/>
      <c r="HZ149" s="190"/>
      <c r="IA149" s="190"/>
      <c r="IB149" s="190"/>
    </row>
    <row r="150" spans="1:236" s="137" customFormat="1" ht="14.25">
      <c r="A150" s="190"/>
      <c r="B150" s="190"/>
      <c r="C150" s="190"/>
      <c r="D150" s="190"/>
      <c r="E150" s="190"/>
      <c r="F150" s="190"/>
      <c r="G150" s="190"/>
      <c r="H150" s="190"/>
      <c r="I150" s="190"/>
      <c r="J150" s="190"/>
      <c r="K150" s="190"/>
      <c r="L150" s="190"/>
      <c r="M150" s="190"/>
      <c r="N150" s="190"/>
      <c r="O150" s="190"/>
      <c r="P150" s="190"/>
      <c r="Q150" s="190"/>
      <c r="R150" s="190"/>
      <c r="S150" s="190"/>
      <c r="T150" s="190"/>
      <c r="U150" s="190"/>
      <c r="V150" s="190"/>
      <c r="W150" s="190"/>
      <c r="X150" s="190"/>
      <c r="Y150" s="190"/>
      <c r="Z150" s="190"/>
      <c r="AA150" s="190"/>
      <c r="AB150" s="190"/>
      <c r="AC150" s="190"/>
      <c r="AD150" s="190"/>
      <c r="AE150" s="190"/>
      <c r="AF150" s="190"/>
      <c r="AG150" s="190"/>
      <c r="AH150" s="190"/>
      <c r="AI150" s="190"/>
      <c r="AJ150" s="190"/>
      <c r="AK150" s="190"/>
      <c r="AL150" s="190"/>
      <c r="AM150" s="190"/>
      <c r="AN150" s="190"/>
      <c r="AO150" s="190"/>
      <c r="AP150" s="190"/>
      <c r="AQ150" s="190"/>
      <c r="AR150" s="190"/>
      <c r="AS150" s="190"/>
      <c r="AT150" s="190"/>
      <c r="AU150" s="190"/>
      <c r="AV150" s="190"/>
      <c r="AW150" s="190"/>
      <c r="AX150" s="190"/>
      <c r="AY150" s="190"/>
      <c r="AZ150" s="190"/>
      <c r="BA150" s="190"/>
      <c r="BB150" s="190"/>
      <c r="BC150" s="190"/>
      <c r="BD150" s="190"/>
      <c r="BE150" s="190"/>
      <c r="BF150" s="190"/>
      <c r="BG150" s="190"/>
      <c r="BH150" s="190"/>
      <c r="BI150" s="190"/>
      <c r="BJ150" s="190"/>
      <c r="BK150" s="190"/>
      <c r="BL150" s="190"/>
      <c r="BM150" s="190"/>
      <c r="BN150" s="190"/>
      <c r="BO150" s="190"/>
      <c r="BP150" s="190"/>
      <c r="BQ150" s="190"/>
      <c r="BR150" s="190"/>
      <c r="BS150" s="190"/>
      <c r="BT150" s="190"/>
      <c r="BU150" s="190"/>
      <c r="BV150" s="190"/>
      <c r="BW150" s="190"/>
      <c r="BX150" s="190"/>
      <c r="BY150" s="190"/>
      <c r="BZ150" s="190"/>
      <c r="CA150" s="190"/>
      <c r="CB150" s="190"/>
      <c r="CC150" s="190"/>
      <c r="CD150" s="190"/>
      <c r="CE150" s="190"/>
      <c r="CF150" s="190"/>
      <c r="CG150" s="190"/>
      <c r="CH150" s="190"/>
      <c r="CI150" s="190"/>
      <c r="CJ150" s="190"/>
      <c r="CK150" s="190"/>
      <c r="CL150" s="190"/>
      <c r="CM150" s="190"/>
      <c r="CN150" s="190"/>
      <c r="CO150" s="190"/>
      <c r="CP150" s="190"/>
      <c r="CQ150" s="190"/>
      <c r="CR150" s="190"/>
      <c r="CS150" s="190"/>
      <c r="CT150" s="190"/>
      <c r="CU150" s="190"/>
      <c r="CV150" s="190"/>
      <c r="CW150" s="190"/>
      <c r="CX150" s="190"/>
      <c r="CY150" s="190"/>
      <c r="CZ150" s="190"/>
      <c r="DA150" s="190"/>
      <c r="DB150" s="190"/>
      <c r="DC150" s="190"/>
      <c r="DD150" s="190"/>
      <c r="DE150" s="190"/>
      <c r="DF150" s="190"/>
      <c r="DG150" s="190"/>
      <c r="DH150" s="190"/>
      <c r="DI150" s="190"/>
      <c r="DJ150" s="190"/>
      <c r="DK150" s="190"/>
      <c r="DL150" s="190"/>
      <c r="DM150" s="190"/>
      <c r="DN150" s="190"/>
      <c r="DO150" s="190"/>
      <c r="DP150" s="190"/>
      <c r="DQ150" s="190"/>
      <c r="DR150" s="190"/>
      <c r="DS150" s="190"/>
      <c r="DT150" s="190"/>
      <c r="DU150" s="190"/>
      <c r="DV150" s="190"/>
      <c r="DW150" s="190"/>
      <c r="DX150" s="190"/>
      <c r="DY150" s="190"/>
      <c r="DZ150" s="190"/>
      <c r="EA150" s="190"/>
      <c r="EB150" s="190"/>
      <c r="EC150" s="190"/>
      <c r="ED150" s="190"/>
      <c r="EE150" s="190"/>
      <c r="EF150" s="190"/>
      <c r="EG150" s="190"/>
      <c r="EH150" s="190"/>
      <c r="EI150" s="190"/>
      <c r="EJ150" s="190"/>
      <c r="EK150" s="190"/>
      <c r="EL150" s="190"/>
      <c r="EM150" s="190"/>
      <c r="EN150" s="190"/>
      <c r="EO150" s="190"/>
      <c r="EP150" s="190"/>
      <c r="EQ150" s="190"/>
      <c r="ER150" s="190"/>
      <c r="ES150" s="190"/>
      <c r="ET150" s="190"/>
      <c r="EU150" s="190"/>
      <c r="EV150" s="190"/>
      <c r="EW150" s="190"/>
      <c r="EX150" s="190"/>
      <c r="EY150" s="190"/>
      <c r="EZ150" s="190"/>
      <c r="FA150" s="190"/>
      <c r="FB150" s="190"/>
      <c r="FC150" s="190"/>
      <c r="FD150" s="190"/>
      <c r="FE150" s="190"/>
      <c r="FF150" s="190"/>
      <c r="FG150" s="190"/>
      <c r="FH150" s="190"/>
      <c r="FI150" s="190"/>
      <c r="FJ150" s="190"/>
      <c r="FK150" s="190"/>
      <c r="FL150" s="190"/>
      <c r="FM150" s="190"/>
      <c r="FN150" s="190"/>
      <c r="FO150" s="190"/>
      <c r="FP150" s="190"/>
      <c r="FQ150" s="190"/>
      <c r="FR150" s="190"/>
      <c r="FS150" s="190"/>
      <c r="FT150" s="190"/>
      <c r="FU150" s="190"/>
      <c r="FV150" s="190"/>
      <c r="FW150" s="190"/>
      <c r="FX150" s="190"/>
      <c r="FY150" s="190"/>
      <c r="FZ150" s="190"/>
      <c r="GA150" s="190"/>
      <c r="GB150" s="190"/>
      <c r="GC150" s="190"/>
      <c r="GD150" s="190"/>
      <c r="GE150" s="190"/>
      <c r="GF150" s="190"/>
      <c r="GG150" s="190"/>
      <c r="GH150" s="190"/>
      <c r="GI150" s="190"/>
      <c r="GJ150" s="190"/>
      <c r="GK150" s="190"/>
      <c r="GL150" s="190"/>
      <c r="GM150" s="190"/>
      <c r="GN150" s="190"/>
      <c r="GO150" s="190"/>
      <c r="GP150" s="190"/>
      <c r="GQ150" s="190"/>
      <c r="GR150" s="190"/>
      <c r="GS150" s="190"/>
      <c r="GT150" s="190"/>
      <c r="GU150" s="190"/>
      <c r="GV150" s="190"/>
      <c r="GW150" s="190"/>
      <c r="GX150" s="190"/>
      <c r="GY150" s="190"/>
      <c r="GZ150" s="190"/>
      <c r="HA150" s="190"/>
      <c r="HB150" s="190"/>
      <c r="HC150" s="190"/>
      <c r="HD150" s="190"/>
      <c r="HE150" s="190"/>
      <c r="HF150" s="190"/>
      <c r="HG150" s="190"/>
      <c r="HH150" s="190"/>
      <c r="HI150" s="190"/>
      <c r="HJ150" s="190"/>
      <c r="HK150" s="190"/>
      <c r="HL150" s="190"/>
      <c r="HM150" s="190"/>
      <c r="HN150" s="190"/>
      <c r="HO150" s="190"/>
      <c r="HP150" s="190"/>
      <c r="HQ150" s="190"/>
      <c r="HR150" s="190"/>
      <c r="HS150" s="190"/>
      <c r="HT150" s="190"/>
      <c r="HU150" s="190"/>
      <c r="HV150" s="190"/>
      <c r="HW150" s="190"/>
      <c r="HX150" s="190"/>
      <c r="HY150" s="190"/>
      <c r="HZ150" s="190"/>
      <c r="IA150" s="190"/>
      <c r="IB150" s="190"/>
    </row>
    <row r="151" spans="1:236" s="137" customFormat="1" ht="14.25">
      <c r="A151" s="190"/>
      <c r="B151" s="190"/>
      <c r="C151" s="190"/>
      <c r="D151" s="190"/>
      <c r="E151" s="190"/>
      <c r="F151" s="190"/>
      <c r="G151" s="190"/>
      <c r="H151" s="190"/>
      <c r="I151" s="190"/>
      <c r="J151" s="190"/>
      <c r="K151" s="190"/>
      <c r="L151" s="190"/>
      <c r="M151" s="190"/>
      <c r="N151" s="190"/>
      <c r="O151" s="190"/>
      <c r="P151" s="190"/>
      <c r="Q151" s="190"/>
      <c r="R151" s="190"/>
      <c r="S151" s="190"/>
      <c r="T151" s="190"/>
      <c r="U151" s="190"/>
      <c r="V151" s="190"/>
      <c r="W151" s="190"/>
      <c r="X151" s="190"/>
      <c r="Y151" s="190"/>
      <c r="Z151" s="190"/>
      <c r="AA151" s="190"/>
      <c r="AB151" s="190"/>
      <c r="AC151" s="190"/>
      <c r="AD151" s="190"/>
      <c r="AE151" s="190"/>
      <c r="AF151" s="190"/>
      <c r="AG151" s="190"/>
      <c r="AH151" s="190"/>
      <c r="AI151" s="190"/>
      <c r="AJ151" s="190"/>
      <c r="AK151" s="190"/>
      <c r="AL151" s="190"/>
      <c r="AM151" s="190"/>
      <c r="AN151" s="190"/>
      <c r="AO151" s="190"/>
      <c r="AP151" s="190"/>
      <c r="AQ151" s="190"/>
      <c r="AR151" s="190"/>
      <c r="AS151" s="190"/>
      <c r="AT151" s="190"/>
      <c r="AU151" s="190"/>
      <c r="AV151" s="190"/>
      <c r="AW151" s="190"/>
      <c r="AX151" s="190"/>
      <c r="AY151" s="190"/>
      <c r="AZ151" s="190"/>
      <c r="BA151" s="190"/>
      <c r="BB151" s="190"/>
      <c r="BC151" s="190"/>
      <c r="BD151" s="190"/>
      <c r="BE151" s="190"/>
      <c r="BF151" s="190"/>
      <c r="BG151" s="190"/>
      <c r="BH151" s="190"/>
      <c r="BI151" s="190"/>
      <c r="BJ151" s="190"/>
      <c r="BK151" s="190"/>
      <c r="BL151" s="190"/>
      <c r="BM151" s="190"/>
      <c r="BN151" s="190"/>
      <c r="BO151" s="190"/>
      <c r="BP151" s="190"/>
      <c r="BQ151" s="190"/>
      <c r="BR151" s="190"/>
      <c r="BS151" s="190"/>
      <c r="BT151" s="190"/>
      <c r="BU151" s="190"/>
      <c r="BV151" s="190"/>
      <c r="BW151" s="190"/>
      <c r="BX151" s="190"/>
      <c r="BY151" s="190"/>
      <c r="BZ151" s="190"/>
      <c r="CA151" s="190"/>
      <c r="CB151" s="190"/>
      <c r="CC151" s="190"/>
      <c r="CD151" s="190"/>
      <c r="CE151" s="190"/>
      <c r="CF151" s="190"/>
      <c r="CG151" s="190"/>
      <c r="CH151" s="190"/>
      <c r="CI151" s="190"/>
      <c r="CJ151" s="190"/>
      <c r="CK151" s="190"/>
      <c r="CL151" s="190"/>
      <c r="CM151" s="190"/>
      <c r="CN151" s="190"/>
      <c r="CO151" s="190"/>
      <c r="CP151" s="190"/>
      <c r="CQ151" s="190"/>
      <c r="CR151" s="190"/>
      <c r="CS151" s="190"/>
      <c r="CT151" s="190"/>
      <c r="CU151" s="190"/>
      <c r="CV151" s="190"/>
      <c r="CW151" s="190"/>
      <c r="CX151" s="190"/>
      <c r="CY151" s="190"/>
      <c r="CZ151" s="190"/>
      <c r="DA151" s="190"/>
      <c r="DB151" s="190"/>
      <c r="DC151" s="190"/>
      <c r="DD151" s="190"/>
      <c r="DE151" s="190"/>
      <c r="DF151" s="190"/>
      <c r="DG151" s="190"/>
      <c r="DH151" s="190"/>
      <c r="DI151" s="190"/>
      <c r="DJ151" s="190"/>
      <c r="DK151" s="190"/>
      <c r="DL151" s="190"/>
      <c r="DM151" s="190"/>
      <c r="DN151" s="190"/>
      <c r="DO151" s="190"/>
      <c r="DP151" s="190"/>
      <c r="DQ151" s="190"/>
      <c r="DR151" s="190"/>
      <c r="DS151" s="190"/>
      <c r="DT151" s="190"/>
      <c r="DU151" s="190"/>
      <c r="DV151" s="190"/>
      <c r="DW151" s="190"/>
      <c r="DX151" s="190"/>
      <c r="DY151" s="190"/>
      <c r="DZ151" s="190"/>
      <c r="EA151" s="190"/>
      <c r="EB151" s="190"/>
      <c r="EC151" s="190"/>
      <c r="ED151" s="190"/>
      <c r="EE151" s="190"/>
      <c r="EF151" s="190"/>
      <c r="EG151" s="190"/>
      <c r="EH151" s="190"/>
      <c r="EI151" s="190"/>
      <c r="EJ151" s="190"/>
      <c r="EK151" s="190"/>
      <c r="EL151" s="190"/>
      <c r="EM151" s="190"/>
      <c r="EN151" s="190"/>
      <c r="EO151" s="190"/>
      <c r="EP151" s="190"/>
      <c r="EQ151" s="190"/>
      <c r="ER151" s="190"/>
      <c r="ES151" s="190"/>
      <c r="ET151" s="190"/>
      <c r="EU151" s="190"/>
      <c r="EV151" s="190"/>
      <c r="EW151" s="190"/>
      <c r="EX151" s="190"/>
      <c r="EY151" s="190"/>
      <c r="EZ151" s="190"/>
      <c r="FA151" s="190"/>
      <c r="FB151" s="190"/>
      <c r="FC151" s="190"/>
      <c r="FD151" s="190"/>
      <c r="FE151" s="190"/>
      <c r="FF151" s="190"/>
      <c r="FG151" s="190"/>
      <c r="FH151" s="190"/>
      <c r="FI151" s="190"/>
      <c r="FJ151" s="190"/>
      <c r="FK151" s="190"/>
      <c r="FL151" s="190"/>
      <c r="FM151" s="190"/>
      <c r="FN151" s="190"/>
      <c r="FO151" s="190"/>
      <c r="FP151" s="190"/>
      <c r="FQ151" s="190"/>
      <c r="FR151" s="190"/>
      <c r="FS151" s="190"/>
      <c r="FT151" s="190"/>
      <c r="FU151" s="190"/>
      <c r="FV151" s="190"/>
      <c r="FW151" s="190"/>
      <c r="FX151" s="190"/>
      <c r="FY151" s="190"/>
      <c r="FZ151" s="190"/>
      <c r="GA151" s="190"/>
      <c r="GB151" s="190"/>
      <c r="GC151" s="190"/>
      <c r="GD151" s="190"/>
      <c r="GE151" s="190"/>
      <c r="GF151" s="190"/>
      <c r="GG151" s="190"/>
      <c r="GH151" s="190"/>
      <c r="GI151" s="190"/>
      <c r="GJ151" s="190"/>
      <c r="GK151" s="190"/>
      <c r="GL151" s="190"/>
      <c r="GM151" s="190"/>
      <c r="GN151" s="190"/>
      <c r="GO151" s="190"/>
      <c r="GP151" s="190"/>
      <c r="GQ151" s="190"/>
      <c r="GR151" s="190"/>
      <c r="GS151" s="190"/>
      <c r="GT151" s="190"/>
      <c r="GU151" s="190"/>
      <c r="GV151" s="190"/>
      <c r="GW151" s="190"/>
      <c r="GX151" s="190"/>
      <c r="GY151" s="190"/>
      <c r="GZ151" s="190"/>
      <c r="HA151" s="190"/>
      <c r="HB151" s="190"/>
      <c r="HC151" s="190"/>
      <c r="HD151" s="190"/>
      <c r="HE151" s="190"/>
      <c r="HF151" s="190"/>
      <c r="HG151" s="190"/>
      <c r="HH151" s="190"/>
      <c r="HI151" s="190"/>
      <c r="HJ151" s="190"/>
      <c r="HK151" s="190"/>
      <c r="HL151" s="190"/>
      <c r="HM151" s="190"/>
      <c r="HN151" s="190"/>
      <c r="HO151" s="190"/>
      <c r="HP151" s="190"/>
      <c r="HQ151" s="190"/>
      <c r="HR151" s="190"/>
      <c r="HS151" s="190"/>
      <c r="HT151" s="190"/>
      <c r="HU151" s="190"/>
      <c r="HV151" s="190"/>
      <c r="HW151" s="190"/>
      <c r="HX151" s="190"/>
      <c r="HY151" s="190"/>
      <c r="HZ151" s="190"/>
      <c r="IA151" s="190"/>
      <c r="IB151" s="190"/>
    </row>
    <row r="152" spans="1:236" s="137" customFormat="1" ht="14.25">
      <c r="A152" s="190"/>
      <c r="B152" s="190"/>
      <c r="C152" s="190"/>
      <c r="D152" s="190"/>
      <c r="E152" s="190"/>
      <c r="F152" s="190"/>
      <c r="G152" s="190"/>
      <c r="H152" s="190"/>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90"/>
      <c r="AX152" s="190"/>
      <c r="AY152" s="190"/>
      <c r="AZ152" s="190"/>
      <c r="BA152" s="190"/>
      <c r="BB152" s="190"/>
      <c r="BC152" s="190"/>
      <c r="BD152" s="190"/>
      <c r="BE152" s="190"/>
      <c r="BF152" s="190"/>
      <c r="BG152" s="190"/>
      <c r="BH152" s="190"/>
      <c r="BI152" s="190"/>
      <c r="BJ152" s="190"/>
      <c r="BK152" s="190"/>
      <c r="BL152" s="190"/>
      <c r="BM152" s="190"/>
      <c r="BN152" s="190"/>
      <c r="BO152" s="190"/>
      <c r="BP152" s="190"/>
      <c r="BQ152" s="190"/>
      <c r="BR152" s="190"/>
      <c r="BS152" s="190"/>
      <c r="BT152" s="190"/>
      <c r="BU152" s="190"/>
      <c r="BV152" s="190"/>
      <c r="BW152" s="190"/>
      <c r="BX152" s="190"/>
      <c r="BY152" s="190"/>
      <c r="BZ152" s="190"/>
      <c r="CA152" s="190"/>
      <c r="CB152" s="190"/>
      <c r="CC152" s="190"/>
      <c r="CD152" s="190"/>
      <c r="CE152" s="190"/>
      <c r="CF152" s="190"/>
      <c r="CG152" s="190"/>
      <c r="CH152" s="190"/>
      <c r="CI152" s="190"/>
      <c r="CJ152" s="190"/>
      <c r="CK152" s="190"/>
      <c r="CL152" s="190"/>
      <c r="CM152" s="190"/>
      <c r="CN152" s="190"/>
      <c r="CO152" s="190"/>
      <c r="CP152" s="190"/>
      <c r="CQ152" s="190"/>
      <c r="CR152" s="190"/>
      <c r="CS152" s="190"/>
      <c r="CT152" s="190"/>
      <c r="CU152" s="190"/>
      <c r="CV152" s="190"/>
      <c r="CW152" s="190"/>
      <c r="CX152" s="190"/>
      <c r="CY152" s="190"/>
      <c r="CZ152" s="190"/>
      <c r="DA152" s="190"/>
      <c r="DB152" s="190"/>
      <c r="DC152" s="190"/>
      <c r="DD152" s="190"/>
      <c r="DE152" s="190"/>
      <c r="DF152" s="190"/>
      <c r="DG152" s="190"/>
      <c r="DH152" s="190"/>
      <c r="DI152" s="190"/>
      <c r="DJ152" s="190"/>
      <c r="DK152" s="190"/>
      <c r="DL152" s="190"/>
      <c r="DM152" s="190"/>
      <c r="DN152" s="190"/>
      <c r="DO152" s="190"/>
      <c r="DP152" s="190"/>
      <c r="DQ152" s="190"/>
      <c r="DR152" s="190"/>
      <c r="DS152" s="190"/>
      <c r="DT152" s="190"/>
      <c r="DU152" s="190"/>
      <c r="DV152" s="190"/>
      <c r="DW152" s="190"/>
      <c r="DX152" s="190"/>
      <c r="DY152" s="190"/>
      <c r="DZ152" s="190"/>
      <c r="EA152" s="190"/>
      <c r="EB152" s="190"/>
      <c r="EC152" s="190"/>
      <c r="ED152" s="190"/>
      <c r="EE152" s="190"/>
      <c r="EF152" s="190"/>
      <c r="EG152" s="190"/>
      <c r="EH152" s="190"/>
      <c r="EI152" s="190"/>
      <c r="EJ152" s="190"/>
      <c r="EK152" s="190"/>
      <c r="EL152" s="190"/>
      <c r="EM152" s="190"/>
      <c r="EN152" s="190"/>
      <c r="EO152" s="190"/>
      <c r="EP152" s="190"/>
      <c r="EQ152" s="190"/>
      <c r="ER152" s="190"/>
      <c r="ES152" s="190"/>
      <c r="ET152" s="190"/>
      <c r="EU152" s="190"/>
      <c r="EV152" s="190"/>
      <c r="EW152" s="190"/>
      <c r="EX152" s="190"/>
      <c r="EY152" s="190"/>
      <c r="EZ152" s="190"/>
      <c r="FA152" s="190"/>
      <c r="FB152" s="190"/>
      <c r="FC152" s="190"/>
      <c r="FD152" s="190"/>
      <c r="FE152" s="190"/>
      <c r="FF152" s="190"/>
      <c r="FG152" s="190"/>
      <c r="FH152" s="190"/>
      <c r="FI152" s="190"/>
      <c r="FJ152" s="190"/>
      <c r="FK152" s="190"/>
      <c r="FL152" s="190"/>
      <c r="FM152" s="190"/>
      <c r="FN152" s="190"/>
      <c r="FO152" s="190"/>
      <c r="FP152" s="190"/>
      <c r="FQ152" s="190"/>
      <c r="FR152" s="190"/>
      <c r="FS152" s="190"/>
      <c r="FT152" s="190"/>
      <c r="FU152" s="190"/>
      <c r="FV152" s="190"/>
      <c r="FW152" s="190"/>
      <c r="FX152" s="190"/>
      <c r="FY152" s="190"/>
      <c r="FZ152" s="190"/>
      <c r="GA152" s="190"/>
      <c r="GB152" s="190"/>
      <c r="GC152" s="190"/>
      <c r="GD152" s="190"/>
      <c r="GE152" s="190"/>
      <c r="GF152" s="190"/>
      <c r="GG152" s="190"/>
      <c r="GH152" s="190"/>
      <c r="GI152" s="190"/>
      <c r="GJ152" s="190"/>
      <c r="GK152" s="190"/>
      <c r="GL152" s="190"/>
      <c r="GM152" s="190"/>
      <c r="GN152" s="190"/>
      <c r="GO152" s="190"/>
      <c r="GP152" s="190"/>
      <c r="GQ152" s="190"/>
      <c r="GR152" s="190"/>
      <c r="GS152" s="190"/>
      <c r="GT152" s="190"/>
      <c r="GU152" s="190"/>
      <c r="GV152" s="190"/>
      <c r="GW152" s="190"/>
      <c r="GX152" s="190"/>
      <c r="GY152" s="190"/>
      <c r="GZ152" s="190"/>
      <c r="HA152" s="190"/>
      <c r="HB152" s="190"/>
      <c r="HC152" s="190"/>
      <c r="HD152" s="190"/>
      <c r="HE152" s="190"/>
      <c r="HF152" s="190"/>
      <c r="HG152" s="190"/>
      <c r="HH152" s="190"/>
      <c r="HI152" s="190"/>
      <c r="HJ152" s="190"/>
      <c r="HK152" s="190"/>
      <c r="HL152" s="190"/>
      <c r="HM152" s="190"/>
      <c r="HN152" s="190"/>
      <c r="HO152" s="190"/>
      <c r="HP152" s="190"/>
      <c r="HQ152" s="190"/>
      <c r="HR152" s="190"/>
      <c r="HS152" s="190"/>
      <c r="HT152" s="190"/>
      <c r="HU152" s="190"/>
      <c r="HV152" s="190"/>
      <c r="HW152" s="190"/>
      <c r="HX152" s="190"/>
      <c r="HY152" s="190"/>
      <c r="HZ152" s="190"/>
      <c r="IA152" s="190"/>
      <c r="IB152" s="190"/>
    </row>
    <row r="153" spans="1:236" s="137" customFormat="1" ht="14.25">
      <c r="A153" s="190"/>
      <c r="B153" s="190"/>
      <c r="C153" s="190"/>
      <c r="D153" s="190"/>
      <c r="E153" s="190"/>
      <c r="F153" s="190"/>
      <c r="G153" s="190"/>
      <c r="H153" s="190"/>
      <c r="I153" s="190"/>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190"/>
      <c r="AF153" s="190"/>
      <c r="AG153" s="190"/>
      <c r="AH153" s="190"/>
      <c r="AI153" s="190"/>
      <c r="AJ153" s="190"/>
      <c r="AK153" s="190"/>
      <c r="AL153" s="190"/>
      <c r="AM153" s="190"/>
      <c r="AN153" s="190"/>
      <c r="AO153" s="190"/>
      <c r="AP153" s="190"/>
      <c r="AQ153" s="190"/>
      <c r="AR153" s="190"/>
      <c r="AS153" s="190"/>
      <c r="AT153" s="190"/>
      <c r="AU153" s="190"/>
      <c r="AV153" s="190"/>
      <c r="AW153" s="190"/>
      <c r="AX153" s="190"/>
      <c r="AY153" s="190"/>
      <c r="AZ153" s="190"/>
      <c r="BA153" s="190"/>
      <c r="BB153" s="190"/>
      <c r="BC153" s="190"/>
      <c r="BD153" s="190"/>
      <c r="BE153" s="190"/>
      <c r="BF153" s="190"/>
      <c r="BG153" s="190"/>
      <c r="BH153" s="190"/>
      <c r="BI153" s="190"/>
      <c r="BJ153" s="190"/>
      <c r="BK153" s="190"/>
      <c r="BL153" s="190"/>
      <c r="BM153" s="190"/>
      <c r="BN153" s="190"/>
      <c r="BO153" s="190"/>
      <c r="BP153" s="190"/>
      <c r="BQ153" s="190"/>
      <c r="BR153" s="190"/>
      <c r="BS153" s="190"/>
      <c r="BT153" s="190"/>
      <c r="BU153" s="190"/>
      <c r="BV153" s="190"/>
      <c r="BW153" s="190"/>
      <c r="BX153" s="190"/>
      <c r="BY153" s="190"/>
      <c r="BZ153" s="190"/>
      <c r="CA153" s="190"/>
      <c r="CB153" s="190"/>
      <c r="CC153" s="190"/>
      <c r="CD153" s="190"/>
      <c r="CE153" s="190"/>
      <c r="CF153" s="190"/>
      <c r="CG153" s="190"/>
      <c r="CH153" s="190"/>
      <c r="CI153" s="190"/>
      <c r="CJ153" s="190"/>
      <c r="CK153" s="190"/>
      <c r="CL153" s="190"/>
      <c r="CM153" s="190"/>
      <c r="CN153" s="190"/>
      <c r="CO153" s="190"/>
      <c r="CP153" s="190"/>
      <c r="CQ153" s="190"/>
      <c r="CR153" s="190"/>
      <c r="CS153" s="190"/>
      <c r="CT153" s="190"/>
      <c r="CU153" s="190"/>
      <c r="CV153" s="190"/>
      <c r="CW153" s="190"/>
      <c r="CX153" s="190"/>
      <c r="CY153" s="190"/>
      <c r="CZ153" s="190"/>
      <c r="DA153" s="190"/>
      <c r="DB153" s="190"/>
      <c r="DC153" s="190"/>
      <c r="DD153" s="190"/>
      <c r="DE153" s="190"/>
      <c r="DF153" s="190"/>
      <c r="DG153" s="190"/>
      <c r="DH153" s="190"/>
      <c r="DI153" s="190"/>
      <c r="DJ153" s="190"/>
      <c r="DK153" s="190"/>
      <c r="DL153" s="190"/>
      <c r="DM153" s="190"/>
      <c r="DN153" s="190"/>
      <c r="DO153" s="190"/>
      <c r="DP153" s="190"/>
      <c r="DQ153" s="190"/>
      <c r="DR153" s="190"/>
      <c r="DS153" s="190"/>
      <c r="DT153" s="190"/>
      <c r="DU153" s="190"/>
      <c r="DV153" s="190"/>
      <c r="DW153" s="190"/>
      <c r="DX153" s="190"/>
      <c r="DY153" s="190"/>
      <c r="DZ153" s="190"/>
      <c r="EA153" s="190"/>
      <c r="EB153" s="190"/>
      <c r="EC153" s="190"/>
      <c r="ED153" s="190"/>
      <c r="EE153" s="190"/>
      <c r="EF153" s="190"/>
      <c r="EG153" s="190"/>
      <c r="EH153" s="190"/>
      <c r="EI153" s="190"/>
      <c r="EJ153" s="190"/>
      <c r="EK153" s="190"/>
      <c r="EL153" s="190"/>
      <c r="EM153" s="190"/>
      <c r="EN153" s="190"/>
      <c r="EO153" s="190"/>
      <c r="EP153" s="190"/>
      <c r="EQ153" s="190"/>
      <c r="ER153" s="190"/>
      <c r="ES153" s="190"/>
      <c r="ET153" s="190"/>
      <c r="EU153" s="190"/>
      <c r="EV153" s="190"/>
      <c r="EW153" s="190"/>
      <c r="EX153" s="190"/>
      <c r="EY153" s="190"/>
      <c r="EZ153" s="190"/>
      <c r="FA153" s="190"/>
      <c r="FB153" s="190"/>
      <c r="FC153" s="190"/>
      <c r="FD153" s="190"/>
      <c r="FE153" s="190"/>
      <c r="FF153" s="190"/>
      <c r="FG153" s="190"/>
      <c r="FH153" s="190"/>
      <c r="FI153" s="190"/>
      <c r="FJ153" s="190"/>
      <c r="FK153" s="190"/>
      <c r="FL153" s="190"/>
      <c r="FM153" s="190"/>
      <c r="FN153" s="190"/>
      <c r="FO153" s="190"/>
      <c r="FP153" s="190"/>
      <c r="FQ153" s="190"/>
      <c r="FR153" s="190"/>
      <c r="FS153" s="190"/>
      <c r="FT153" s="190"/>
      <c r="FU153" s="190"/>
      <c r="FV153" s="190"/>
      <c r="FW153" s="190"/>
      <c r="FX153" s="190"/>
      <c r="FY153" s="190"/>
      <c r="FZ153" s="190"/>
      <c r="GA153" s="190"/>
      <c r="GB153" s="190"/>
      <c r="GC153" s="190"/>
      <c r="GD153" s="190"/>
      <c r="GE153" s="190"/>
      <c r="GF153" s="190"/>
      <c r="GG153" s="190"/>
      <c r="GH153" s="190"/>
      <c r="GI153" s="190"/>
      <c r="GJ153" s="190"/>
      <c r="GK153" s="190"/>
      <c r="GL153" s="190"/>
      <c r="GM153" s="190"/>
      <c r="GN153" s="190"/>
      <c r="GO153" s="190"/>
      <c r="GP153" s="190"/>
      <c r="GQ153" s="190"/>
      <c r="GR153" s="190"/>
      <c r="GS153" s="190"/>
      <c r="GT153" s="190"/>
      <c r="GU153" s="190"/>
      <c r="GV153" s="190"/>
      <c r="GW153" s="190"/>
      <c r="GX153" s="190"/>
      <c r="GY153" s="190"/>
      <c r="GZ153" s="190"/>
      <c r="HA153" s="190"/>
      <c r="HB153" s="190"/>
      <c r="HC153" s="190"/>
      <c r="HD153" s="190"/>
      <c r="HE153" s="190"/>
      <c r="HF153" s="190"/>
      <c r="HG153" s="190"/>
      <c r="HH153" s="190"/>
      <c r="HI153" s="190"/>
      <c r="HJ153" s="190"/>
      <c r="HK153" s="190"/>
      <c r="HL153" s="190"/>
      <c r="HM153" s="190"/>
      <c r="HN153" s="190"/>
      <c r="HO153" s="190"/>
      <c r="HP153" s="190"/>
      <c r="HQ153" s="190"/>
      <c r="HR153" s="190"/>
      <c r="HS153" s="190"/>
      <c r="HT153" s="190"/>
      <c r="HU153" s="190"/>
      <c r="HV153" s="190"/>
      <c r="HW153" s="190"/>
      <c r="HX153" s="190"/>
      <c r="HY153" s="190"/>
      <c r="HZ153" s="190"/>
      <c r="IA153" s="190"/>
      <c r="IB153" s="190"/>
    </row>
    <row r="154" spans="1:236" s="137" customFormat="1" ht="14.25">
      <c r="A154" s="190"/>
      <c r="B154" s="190"/>
      <c r="C154" s="190"/>
      <c r="D154" s="190"/>
      <c r="E154" s="190"/>
      <c r="F154" s="190"/>
      <c r="G154" s="190"/>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0"/>
      <c r="AD154" s="190"/>
      <c r="AE154" s="190"/>
      <c r="AF154" s="190"/>
      <c r="AG154" s="190"/>
      <c r="AH154" s="190"/>
      <c r="AI154" s="190"/>
      <c r="AJ154" s="190"/>
      <c r="AK154" s="190"/>
      <c r="AL154" s="190"/>
      <c r="AM154" s="190"/>
      <c r="AN154" s="190"/>
      <c r="AO154" s="190"/>
      <c r="AP154" s="190"/>
      <c r="AQ154" s="190"/>
      <c r="AR154" s="190"/>
      <c r="AS154" s="190"/>
      <c r="AT154" s="190"/>
      <c r="AU154" s="190"/>
      <c r="AV154" s="190"/>
      <c r="AW154" s="190"/>
      <c r="AX154" s="190"/>
      <c r="AY154" s="190"/>
      <c r="AZ154" s="190"/>
      <c r="BA154" s="190"/>
      <c r="BB154" s="190"/>
      <c r="BC154" s="190"/>
      <c r="BD154" s="190"/>
      <c r="BE154" s="190"/>
      <c r="BF154" s="190"/>
      <c r="BG154" s="190"/>
      <c r="BH154" s="190"/>
      <c r="BI154" s="190"/>
      <c r="BJ154" s="190"/>
      <c r="BK154" s="190"/>
      <c r="BL154" s="190"/>
      <c r="BM154" s="190"/>
      <c r="BN154" s="190"/>
      <c r="BO154" s="190"/>
      <c r="BP154" s="190"/>
      <c r="BQ154" s="190"/>
      <c r="BR154" s="190"/>
      <c r="BS154" s="190"/>
      <c r="BT154" s="190"/>
      <c r="BU154" s="190"/>
      <c r="BV154" s="190"/>
      <c r="BW154" s="190"/>
      <c r="BX154" s="190"/>
      <c r="BY154" s="190"/>
      <c r="BZ154" s="190"/>
      <c r="CA154" s="190"/>
      <c r="CB154" s="190"/>
      <c r="CC154" s="190"/>
      <c r="CD154" s="190"/>
      <c r="CE154" s="190"/>
      <c r="CF154" s="190"/>
      <c r="CG154" s="190"/>
      <c r="CH154" s="190"/>
      <c r="CI154" s="190"/>
      <c r="CJ154" s="190"/>
      <c r="CK154" s="190"/>
      <c r="CL154" s="190"/>
      <c r="CM154" s="190"/>
      <c r="CN154" s="190"/>
      <c r="CO154" s="190"/>
      <c r="CP154" s="190"/>
      <c r="CQ154" s="190"/>
      <c r="CR154" s="190"/>
      <c r="CS154" s="190"/>
      <c r="CT154" s="190"/>
      <c r="CU154" s="190"/>
      <c r="CV154" s="190"/>
      <c r="CW154" s="190"/>
      <c r="CX154" s="190"/>
      <c r="CY154" s="190"/>
      <c r="CZ154" s="190"/>
      <c r="DA154" s="190"/>
      <c r="DB154" s="190"/>
      <c r="DC154" s="190"/>
      <c r="DD154" s="190"/>
      <c r="DE154" s="190"/>
      <c r="DF154" s="190"/>
      <c r="DG154" s="190"/>
      <c r="DH154" s="190"/>
      <c r="DI154" s="190"/>
      <c r="DJ154" s="190"/>
      <c r="DK154" s="190"/>
      <c r="DL154" s="190"/>
      <c r="DM154" s="190"/>
      <c r="DN154" s="190"/>
      <c r="DO154" s="190"/>
      <c r="DP154" s="190"/>
      <c r="DQ154" s="190"/>
      <c r="DR154" s="190"/>
      <c r="DS154" s="190"/>
      <c r="DT154" s="190"/>
      <c r="DU154" s="190"/>
      <c r="DV154" s="190"/>
      <c r="DW154" s="190"/>
      <c r="DX154" s="190"/>
      <c r="DY154" s="190"/>
      <c r="DZ154" s="190"/>
      <c r="EA154" s="190"/>
      <c r="EB154" s="190"/>
      <c r="EC154" s="190"/>
      <c r="ED154" s="190"/>
      <c r="EE154" s="190"/>
      <c r="EF154" s="190"/>
      <c r="EG154" s="190"/>
      <c r="EH154" s="190"/>
      <c r="EI154" s="190"/>
      <c r="EJ154" s="190"/>
      <c r="EK154" s="190"/>
      <c r="EL154" s="190"/>
      <c r="EM154" s="190"/>
      <c r="EN154" s="190"/>
      <c r="EO154" s="190"/>
      <c r="EP154" s="190"/>
      <c r="EQ154" s="190"/>
      <c r="ER154" s="190"/>
      <c r="ES154" s="190"/>
      <c r="ET154" s="190"/>
      <c r="EU154" s="190"/>
      <c r="EV154" s="190"/>
      <c r="EW154" s="190"/>
      <c r="EX154" s="190"/>
      <c r="EY154" s="190"/>
      <c r="EZ154" s="190"/>
      <c r="FA154" s="190"/>
      <c r="FB154" s="190"/>
      <c r="FC154" s="190"/>
      <c r="FD154" s="190"/>
      <c r="FE154" s="190"/>
      <c r="FF154" s="190"/>
      <c r="FG154" s="190"/>
      <c r="FH154" s="190"/>
      <c r="FI154" s="190"/>
      <c r="FJ154" s="190"/>
      <c r="FK154" s="190"/>
      <c r="FL154" s="190"/>
      <c r="FM154" s="190"/>
      <c r="FN154" s="190"/>
      <c r="FO154" s="190"/>
      <c r="FP154" s="190"/>
      <c r="FQ154" s="190"/>
      <c r="FR154" s="190"/>
      <c r="FS154" s="190"/>
      <c r="FT154" s="190"/>
      <c r="FU154" s="190"/>
      <c r="FV154" s="190"/>
      <c r="FW154" s="190"/>
      <c r="FX154" s="190"/>
      <c r="FY154" s="190"/>
      <c r="FZ154" s="190"/>
      <c r="GA154" s="190"/>
      <c r="GB154" s="190"/>
      <c r="GC154" s="190"/>
      <c r="GD154" s="190"/>
      <c r="GE154" s="190"/>
      <c r="GF154" s="190"/>
      <c r="GG154" s="190"/>
      <c r="GH154" s="190"/>
      <c r="GI154" s="190"/>
      <c r="GJ154" s="190"/>
      <c r="GK154" s="190"/>
      <c r="GL154" s="190"/>
      <c r="GM154" s="190"/>
      <c r="GN154" s="190"/>
      <c r="GO154" s="190"/>
      <c r="GP154" s="190"/>
      <c r="GQ154" s="190"/>
      <c r="GR154" s="190"/>
      <c r="GS154" s="190"/>
      <c r="GT154" s="190"/>
      <c r="GU154" s="190"/>
      <c r="GV154" s="190"/>
      <c r="GW154" s="190"/>
      <c r="GX154" s="190"/>
      <c r="GY154" s="190"/>
      <c r="GZ154" s="190"/>
      <c r="HA154" s="190"/>
      <c r="HB154" s="190"/>
      <c r="HC154" s="190"/>
      <c r="HD154" s="190"/>
      <c r="HE154" s="190"/>
      <c r="HF154" s="190"/>
      <c r="HG154" s="190"/>
      <c r="HH154" s="190"/>
      <c r="HI154" s="190"/>
      <c r="HJ154" s="190"/>
      <c r="HK154" s="190"/>
      <c r="HL154" s="190"/>
      <c r="HM154" s="190"/>
      <c r="HN154" s="190"/>
      <c r="HO154" s="190"/>
      <c r="HP154" s="190"/>
      <c r="HQ154" s="190"/>
      <c r="HR154" s="190"/>
      <c r="HS154" s="190"/>
      <c r="HT154" s="190"/>
      <c r="HU154" s="190"/>
      <c r="HV154" s="190"/>
      <c r="HW154" s="190"/>
      <c r="HX154" s="190"/>
      <c r="HY154" s="190"/>
      <c r="HZ154" s="190"/>
      <c r="IA154" s="190"/>
      <c r="IB154" s="190"/>
    </row>
    <row r="155" spans="1:236" s="137" customFormat="1" ht="14.25">
      <c r="A155" s="190"/>
      <c r="B155" s="190"/>
      <c r="C155" s="190"/>
      <c r="D155" s="190"/>
      <c r="E155" s="190"/>
      <c r="F155" s="190"/>
      <c r="G155" s="190"/>
      <c r="H155" s="190"/>
      <c r="I155" s="190"/>
      <c r="J155" s="190"/>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c r="AP155" s="190"/>
      <c r="AQ155" s="190"/>
      <c r="AR155" s="190"/>
      <c r="AS155" s="190"/>
      <c r="AT155" s="190"/>
      <c r="AU155" s="190"/>
      <c r="AV155" s="190"/>
      <c r="AW155" s="190"/>
      <c r="AX155" s="190"/>
      <c r="AY155" s="190"/>
      <c r="AZ155" s="190"/>
      <c r="BA155" s="190"/>
      <c r="BB155" s="190"/>
      <c r="BC155" s="190"/>
      <c r="BD155" s="190"/>
      <c r="BE155" s="190"/>
      <c r="BF155" s="190"/>
      <c r="BG155" s="190"/>
      <c r="BH155" s="190"/>
      <c r="BI155" s="190"/>
      <c r="BJ155" s="190"/>
      <c r="BK155" s="190"/>
      <c r="BL155" s="190"/>
      <c r="BM155" s="190"/>
      <c r="BN155" s="190"/>
      <c r="BO155" s="190"/>
      <c r="BP155" s="190"/>
      <c r="BQ155" s="190"/>
      <c r="BR155" s="190"/>
      <c r="BS155" s="190"/>
      <c r="BT155" s="190"/>
      <c r="BU155" s="190"/>
      <c r="BV155" s="190"/>
      <c r="BW155" s="190"/>
      <c r="BX155" s="190"/>
      <c r="BY155" s="190"/>
      <c r="BZ155" s="190"/>
      <c r="CA155" s="190"/>
      <c r="CB155" s="190"/>
      <c r="CC155" s="190"/>
      <c r="CD155" s="190"/>
      <c r="CE155" s="190"/>
      <c r="CF155" s="190"/>
      <c r="CG155" s="190"/>
      <c r="CH155" s="190"/>
      <c r="CI155" s="190"/>
      <c r="CJ155" s="190"/>
      <c r="CK155" s="190"/>
      <c r="CL155" s="190"/>
      <c r="CM155" s="190"/>
      <c r="CN155" s="190"/>
      <c r="CO155" s="190"/>
      <c r="CP155" s="190"/>
      <c r="CQ155" s="190"/>
      <c r="CR155" s="190"/>
      <c r="CS155" s="190"/>
      <c r="CT155" s="190"/>
      <c r="CU155" s="190"/>
      <c r="CV155" s="190"/>
      <c r="CW155" s="190"/>
      <c r="CX155" s="190"/>
      <c r="CY155" s="190"/>
      <c r="CZ155" s="190"/>
      <c r="DA155" s="190"/>
      <c r="DB155" s="190"/>
      <c r="DC155" s="190"/>
      <c r="DD155" s="190"/>
      <c r="DE155" s="190"/>
      <c r="DF155" s="190"/>
      <c r="DG155" s="190"/>
      <c r="DH155" s="190"/>
      <c r="DI155" s="190"/>
      <c r="DJ155" s="190"/>
      <c r="DK155" s="190"/>
      <c r="DL155" s="190"/>
      <c r="DM155" s="190"/>
      <c r="DN155" s="190"/>
      <c r="DO155" s="190"/>
      <c r="DP155" s="190"/>
      <c r="DQ155" s="190"/>
      <c r="DR155" s="190"/>
      <c r="DS155" s="190"/>
      <c r="DT155" s="190"/>
      <c r="DU155" s="190"/>
      <c r="DV155" s="190"/>
      <c r="DW155" s="190"/>
      <c r="DX155" s="190"/>
      <c r="DY155" s="190"/>
      <c r="DZ155" s="190"/>
      <c r="EA155" s="190"/>
      <c r="EB155" s="190"/>
      <c r="EC155" s="190"/>
      <c r="ED155" s="190"/>
      <c r="EE155" s="190"/>
      <c r="EF155" s="190"/>
      <c r="EG155" s="190"/>
      <c r="EH155" s="190"/>
      <c r="EI155" s="190"/>
      <c r="EJ155" s="190"/>
      <c r="EK155" s="190"/>
      <c r="EL155" s="190"/>
      <c r="EM155" s="190"/>
      <c r="EN155" s="190"/>
      <c r="EO155" s="190"/>
      <c r="EP155" s="190"/>
      <c r="EQ155" s="190"/>
      <c r="ER155" s="190"/>
      <c r="ES155" s="190"/>
      <c r="ET155" s="190"/>
      <c r="EU155" s="190"/>
      <c r="EV155" s="190"/>
      <c r="EW155" s="190"/>
      <c r="EX155" s="190"/>
      <c r="EY155" s="190"/>
      <c r="EZ155" s="190"/>
      <c r="FA155" s="190"/>
      <c r="FB155" s="190"/>
      <c r="FC155" s="190"/>
      <c r="FD155" s="190"/>
      <c r="FE155" s="190"/>
      <c r="FF155" s="190"/>
      <c r="FG155" s="190"/>
      <c r="FH155" s="190"/>
      <c r="FI155" s="190"/>
      <c r="FJ155" s="190"/>
      <c r="FK155" s="190"/>
      <c r="FL155" s="190"/>
      <c r="FM155" s="190"/>
      <c r="FN155" s="190"/>
      <c r="FO155" s="190"/>
      <c r="FP155" s="190"/>
      <c r="FQ155" s="190"/>
      <c r="FR155" s="190"/>
      <c r="FS155" s="190"/>
      <c r="FT155" s="190"/>
      <c r="FU155" s="190"/>
      <c r="FV155" s="190"/>
      <c r="FW155" s="190"/>
      <c r="FX155" s="190"/>
      <c r="FY155" s="190"/>
      <c r="FZ155" s="190"/>
      <c r="GA155" s="190"/>
      <c r="GB155" s="190"/>
      <c r="GC155" s="190"/>
      <c r="GD155" s="190"/>
      <c r="GE155" s="190"/>
      <c r="GF155" s="190"/>
      <c r="GG155" s="190"/>
      <c r="GH155" s="190"/>
      <c r="GI155" s="190"/>
      <c r="GJ155" s="190"/>
      <c r="GK155" s="190"/>
      <c r="GL155" s="190"/>
      <c r="GM155" s="190"/>
      <c r="GN155" s="190"/>
      <c r="GO155" s="190"/>
      <c r="GP155" s="190"/>
      <c r="GQ155" s="190"/>
      <c r="GR155" s="190"/>
      <c r="GS155" s="190"/>
      <c r="GT155" s="190"/>
      <c r="GU155" s="190"/>
      <c r="GV155" s="190"/>
      <c r="GW155" s="190"/>
      <c r="GX155" s="190"/>
      <c r="GY155" s="190"/>
      <c r="GZ155" s="190"/>
      <c r="HA155" s="190"/>
      <c r="HB155" s="190"/>
      <c r="HC155" s="190"/>
      <c r="HD155" s="190"/>
      <c r="HE155" s="190"/>
      <c r="HF155" s="190"/>
      <c r="HG155" s="190"/>
      <c r="HH155" s="190"/>
      <c r="HI155" s="190"/>
      <c r="HJ155" s="190"/>
      <c r="HK155" s="190"/>
      <c r="HL155" s="190"/>
      <c r="HM155" s="190"/>
      <c r="HN155" s="190"/>
      <c r="HO155" s="190"/>
      <c r="HP155" s="190"/>
      <c r="HQ155" s="190"/>
      <c r="HR155" s="190"/>
      <c r="HS155" s="190"/>
      <c r="HT155" s="190"/>
      <c r="HU155" s="190"/>
      <c r="HV155" s="190"/>
      <c r="HW155" s="190"/>
      <c r="HX155" s="190"/>
      <c r="HY155" s="190"/>
      <c r="HZ155" s="190"/>
      <c r="IA155" s="190"/>
      <c r="IB155" s="190"/>
    </row>
    <row r="156" spans="1:236" s="137" customFormat="1" ht="14.25">
      <c r="A156" s="190"/>
      <c r="B156" s="190"/>
      <c r="C156" s="190"/>
      <c r="D156" s="190"/>
      <c r="E156" s="190"/>
      <c r="F156" s="190"/>
      <c r="G156" s="190"/>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0"/>
      <c r="AL156" s="190"/>
      <c r="AM156" s="190"/>
      <c r="AN156" s="190"/>
      <c r="AO156" s="190"/>
      <c r="AP156" s="190"/>
      <c r="AQ156" s="190"/>
      <c r="AR156" s="190"/>
      <c r="AS156" s="190"/>
      <c r="AT156" s="190"/>
      <c r="AU156" s="190"/>
      <c r="AV156" s="190"/>
      <c r="AW156" s="190"/>
      <c r="AX156" s="190"/>
      <c r="AY156" s="190"/>
      <c r="AZ156" s="190"/>
      <c r="BA156" s="190"/>
      <c r="BB156" s="190"/>
      <c r="BC156" s="190"/>
      <c r="BD156" s="190"/>
      <c r="BE156" s="190"/>
      <c r="BF156" s="190"/>
      <c r="BG156" s="190"/>
      <c r="BH156" s="190"/>
      <c r="BI156" s="190"/>
      <c r="BJ156" s="190"/>
      <c r="BK156" s="190"/>
      <c r="BL156" s="190"/>
      <c r="BM156" s="190"/>
      <c r="BN156" s="190"/>
      <c r="BO156" s="190"/>
      <c r="BP156" s="190"/>
      <c r="BQ156" s="190"/>
      <c r="BR156" s="190"/>
      <c r="BS156" s="190"/>
      <c r="BT156" s="190"/>
      <c r="BU156" s="190"/>
      <c r="BV156" s="190"/>
      <c r="BW156" s="190"/>
      <c r="BX156" s="190"/>
      <c r="BY156" s="190"/>
      <c r="BZ156" s="190"/>
      <c r="CA156" s="190"/>
      <c r="CB156" s="190"/>
      <c r="CC156" s="190"/>
      <c r="CD156" s="190"/>
      <c r="CE156" s="190"/>
      <c r="CF156" s="190"/>
      <c r="CG156" s="190"/>
      <c r="CH156" s="190"/>
      <c r="CI156" s="190"/>
      <c r="CJ156" s="190"/>
      <c r="CK156" s="190"/>
      <c r="CL156" s="190"/>
      <c r="CM156" s="190"/>
      <c r="CN156" s="190"/>
      <c r="CO156" s="190"/>
      <c r="CP156" s="190"/>
      <c r="CQ156" s="190"/>
      <c r="CR156" s="190"/>
      <c r="CS156" s="190"/>
      <c r="CT156" s="190"/>
      <c r="CU156" s="190"/>
      <c r="CV156" s="190"/>
      <c r="CW156" s="190"/>
      <c r="CX156" s="190"/>
      <c r="CY156" s="190"/>
      <c r="CZ156" s="190"/>
      <c r="DA156" s="190"/>
      <c r="DB156" s="190"/>
      <c r="DC156" s="190"/>
      <c r="DD156" s="190"/>
      <c r="DE156" s="190"/>
      <c r="DF156" s="190"/>
      <c r="DG156" s="190"/>
      <c r="DH156" s="190"/>
      <c r="DI156" s="190"/>
      <c r="DJ156" s="190"/>
      <c r="DK156" s="190"/>
      <c r="DL156" s="190"/>
      <c r="DM156" s="190"/>
      <c r="DN156" s="190"/>
      <c r="DO156" s="190"/>
      <c r="DP156" s="190"/>
      <c r="DQ156" s="190"/>
      <c r="DR156" s="190"/>
      <c r="DS156" s="190"/>
      <c r="DT156" s="190"/>
      <c r="DU156" s="190"/>
      <c r="DV156" s="190"/>
      <c r="DW156" s="190"/>
      <c r="DX156" s="190"/>
      <c r="DY156" s="190"/>
      <c r="DZ156" s="190"/>
      <c r="EA156" s="190"/>
      <c r="EB156" s="190"/>
      <c r="EC156" s="190"/>
      <c r="ED156" s="190"/>
      <c r="EE156" s="190"/>
      <c r="EF156" s="190"/>
      <c r="EG156" s="190"/>
      <c r="EH156" s="190"/>
      <c r="EI156" s="190"/>
      <c r="EJ156" s="190"/>
      <c r="EK156" s="190"/>
      <c r="EL156" s="190"/>
      <c r="EM156" s="190"/>
      <c r="EN156" s="190"/>
      <c r="EO156" s="190"/>
      <c r="EP156" s="190"/>
      <c r="EQ156" s="190"/>
      <c r="ER156" s="190"/>
      <c r="ES156" s="190"/>
      <c r="ET156" s="190"/>
      <c r="EU156" s="190"/>
      <c r="EV156" s="190"/>
      <c r="EW156" s="190"/>
      <c r="EX156" s="190"/>
      <c r="EY156" s="190"/>
      <c r="EZ156" s="190"/>
      <c r="FA156" s="190"/>
      <c r="FB156" s="190"/>
      <c r="FC156" s="190"/>
      <c r="FD156" s="190"/>
      <c r="FE156" s="190"/>
      <c r="FF156" s="190"/>
      <c r="FG156" s="190"/>
      <c r="FH156" s="190"/>
      <c r="FI156" s="190"/>
      <c r="FJ156" s="190"/>
      <c r="FK156" s="190"/>
      <c r="FL156" s="190"/>
      <c r="FM156" s="190"/>
      <c r="FN156" s="190"/>
      <c r="FO156" s="190"/>
      <c r="FP156" s="190"/>
      <c r="FQ156" s="190"/>
      <c r="FR156" s="190"/>
      <c r="FS156" s="190"/>
      <c r="FT156" s="190"/>
      <c r="FU156" s="190"/>
      <c r="FV156" s="190"/>
      <c r="FW156" s="190"/>
      <c r="FX156" s="190"/>
      <c r="FY156" s="190"/>
      <c r="FZ156" s="190"/>
      <c r="GA156" s="190"/>
      <c r="GB156" s="190"/>
      <c r="GC156" s="190"/>
      <c r="GD156" s="190"/>
      <c r="GE156" s="190"/>
      <c r="GF156" s="190"/>
      <c r="GG156" s="190"/>
      <c r="GH156" s="190"/>
      <c r="GI156" s="190"/>
      <c r="GJ156" s="190"/>
      <c r="GK156" s="190"/>
      <c r="GL156" s="190"/>
      <c r="GM156" s="190"/>
      <c r="GN156" s="190"/>
      <c r="GO156" s="190"/>
      <c r="GP156" s="190"/>
      <c r="GQ156" s="190"/>
      <c r="GR156" s="190"/>
      <c r="GS156" s="190"/>
      <c r="GT156" s="190"/>
      <c r="GU156" s="190"/>
      <c r="GV156" s="190"/>
      <c r="GW156" s="190"/>
      <c r="GX156" s="190"/>
      <c r="GY156" s="190"/>
      <c r="GZ156" s="190"/>
      <c r="HA156" s="190"/>
      <c r="HB156" s="190"/>
      <c r="HC156" s="190"/>
      <c r="HD156" s="190"/>
      <c r="HE156" s="190"/>
      <c r="HF156" s="190"/>
      <c r="HG156" s="190"/>
      <c r="HH156" s="190"/>
      <c r="HI156" s="190"/>
      <c r="HJ156" s="190"/>
      <c r="HK156" s="190"/>
      <c r="HL156" s="190"/>
      <c r="HM156" s="190"/>
      <c r="HN156" s="190"/>
      <c r="HO156" s="190"/>
      <c r="HP156" s="190"/>
      <c r="HQ156" s="190"/>
      <c r="HR156" s="190"/>
      <c r="HS156" s="190"/>
      <c r="HT156" s="190"/>
      <c r="HU156" s="190"/>
      <c r="HV156" s="190"/>
      <c r="HW156" s="190"/>
      <c r="HX156" s="190"/>
      <c r="HY156" s="190"/>
      <c r="HZ156" s="190"/>
      <c r="IA156" s="190"/>
      <c r="IB156" s="190"/>
    </row>
    <row r="157" spans="1:236" s="137" customFormat="1" ht="14.25">
      <c r="A157" s="190"/>
      <c r="B157" s="190"/>
      <c r="C157" s="190"/>
      <c r="D157" s="190"/>
      <c r="E157" s="190"/>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190"/>
      <c r="AN157" s="190"/>
      <c r="AO157" s="190"/>
      <c r="AP157" s="190"/>
      <c r="AQ157" s="190"/>
      <c r="AR157" s="190"/>
      <c r="AS157" s="190"/>
      <c r="AT157" s="190"/>
      <c r="AU157" s="190"/>
      <c r="AV157" s="190"/>
      <c r="AW157" s="190"/>
      <c r="AX157" s="190"/>
      <c r="AY157" s="190"/>
      <c r="AZ157" s="190"/>
      <c r="BA157" s="190"/>
      <c r="BB157" s="190"/>
      <c r="BC157" s="190"/>
      <c r="BD157" s="190"/>
      <c r="BE157" s="190"/>
      <c r="BF157" s="190"/>
      <c r="BG157" s="190"/>
      <c r="BH157" s="190"/>
      <c r="BI157" s="190"/>
      <c r="BJ157" s="190"/>
      <c r="BK157" s="190"/>
      <c r="BL157" s="190"/>
      <c r="BM157" s="190"/>
      <c r="BN157" s="190"/>
      <c r="BO157" s="190"/>
      <c r="BP157" s="190"/>
      <c r="BQ157" s="190"/>
      <c r="BR157" s="190"/>
      <c r="BS157" s="190"/>
      <c r="BT157" s="190"/>
      <c r="BU157" s="190"/>
      <c r="BV157" s="190"/>
      <c r="BW157" s="190"/>
      <c r="BX157" s="190"/>
      <c r="BY157" s="190"/>
      <c r="BZ157" s="190"/>
      <c r="CA157" s="190"/>
      <c r="CB157" s="190"/>
      <c r="CC157" s="190"/>
      <c r="CD157" s="190"/>
      <c r="CE157" s="190"/>
      <c r="CF157" s="190"/>
      <c r="CG157" s="190"/>
      <c r="CH157" s="190"/>
      <c r="CI157" s="190"/>
      <c r="CJ157" s="190"/>
      <c r="CK157" s="190"/>
      <c r="CL157" s="190"/>
      <c r="CM157" s="190"/>
      <c r="CN157" s="190"/>
      <c r="CO157" s="190"/>
      <c r="CP157" s="190"/>
      <c r="CQ157" s="190"/>
      <c r="CR157" s="190"/>
      <c r="CS157" s="190"/>
      <c r="CT157" s="190"/>
      <c r="CU157" s="190"/>
      <c r="CV157" s="190"/>
      <c r="CW157" s="190"/>
      <c r="CX157" s="190"/>
      <c r="CY157" s="190"/>
      <c r="CZ157" s="190"/>
      <c r="DA157" s="190"/>
      <c r="DB157" s="190"/>
      <c r="DC157" s="190"/>
      <c r="DD157" s="190"/>
      <c r="DE157" s="190"/>
      <c r="DF157" s="190"/>
      <c r="DG157" s="190"/>
      <c r="DH157" s="190"/>
      <c r="DI157" s="190"/>
      <c r="DJ157" s="190"/>
      <c r="DK157" s="190"/>
      <c r="DL157" s="190"/>
      <c r="DM157" s="190"/>
      <c r="DN157" s="190"/>
      <c r="DO157" s="190"/>
      <c r="DP157" s="190"/>
      <c r="DQ157" s="190"/>
      <c r="DR157" s="190"/>
      <c r="DS157" s="190"/>
      <c r="DT157" s="190"/>
      <c r="DU157" s="190"/>
      <c r="DV157" s="190"/>
      <c r="DW157" s="190"/>
      <c r="DX157" s="190"/>
      <c r="DY157" s="190"/>
      <c r="DZ157" s="190"/>
      <c r="EA157" s="190"/>
      <c r="EB157" s="190"/>
      <c r="EC157" s="190"/>
      <c r="ED157" s="190"/>
      <c r="EE157" s="190"/>
      <c r="EF157" s="190"/>
      <c r="EG157" s="190"/>
      <c r="EH157" s="190"/>
      <c r="EI157" s="190"/>
      <c r="EJ157" s="190"/>
      <c r="EK157" s="190"/>
      <c r="EL157" s="190"/>
      <c r="EM157" s="190"/>
      <c r="EN157" s="190"/>
      <c r="EO157" s="190"/>
      <c r="EP157" s="190"/>
      <c r="EQ157" s="190"/>
      <c r="ER157" s="190"/>
      <c r="ES157" s="190"/>
      <c r="ET157" s="190"/>
      <c r="EU157" s="190"/>
      <c r="EV157" s="190"/>
      <c r="EW157" s="190"/>
      <c r="EX157" s="190"/>
      <c r="EY157" s="190"/>
      <c r="EZ157" s="190"/>
      <c r="FA157" s="190"/>
      <c r="FB157" s="190"/>
      <c r="FC157" s="190"/>
      <c r="FD157" s="190"/>
      <c r="FE157" s="190"/>
      <c r="FF157" s="190"/>
      <c r="FG157" s="190"/>
      <c r="FH157" s="190"/>
      <c r="FI157" s="190"/>
      <c r="FJ157" s="190"/>
      <c r="FK157" s="190"/>
      <c r="FL157" s="190"/>
      <c r="FM157" s="190"/>
      <c r="FN157" s="190"/>
      <c r="FO157" s="190"/>
      <c r="FP157" s="190"/>
      <c r="FQ157" s="190"/>
      <c r="FR157" s="190"/>
      <c r="FS157" s="190"/>
      <c r="FT157" s="190"/>
      <c r="FU157" s="190"/>
      <c r="FV157" s="190"/>
      <c r="FW157" s="190"/>
      <c r="FX157" s="190"/>
      <c r="FY157" s="190"/>
      <c r="FZ157" s="190"/>
      <c r="GA157" s="190"/>
      <c r="GB157" s="190"/>
      <c r="GC157" s="190"/>
      <c r="GD157" s="190"/>
      <c r="GE157" s="190"/>
      <c r="GF157" s="190"/>
      <c r="GG157" s="190"/>
      <c r="GH157" s="190"/>
      <c r="GI157" s="190"/>
      <c r="GJ157" s="190"/>
      <c r="GK157" s="190"/>
      <c r="GL157" s="190"/>
      <c r="GM157" s="190"/>
      <c r="GN157" s="190"/>
      <c r="GO157" s="190"/>
      <c r="GP157" s="190"/>
      <c r="GQ157" s="190"/>
      <c r="GR157" s="190"/>
      <c r="GS157" s="190"/>
      <c r="GT157" s="190"/>
      <c r="GU157" s="190"/>
      <c r="GV157" s="190"/>
      <c r="GW157" s="190"/>
      <c r="GX157" s="190"/>
      <c r="GY157" s="190"/>
      <c r="GZ157" s="190"/>
      <c r="HA157" s="190"/>
      <c r="HB157" s="190"/>
      <c r="HC157" s="190"/>
      <c r="HD157" s="190"/>
      <c r="HE157" s="190"/>
      <c r="HF157" s="190"/>
      <c r="HG157" s="190"/>
      <c r="HH157" s="190"/>
      <c r="HI157" s="190"/>
      <c r="HJ157" s="190"/>
      <c r="HK157" s="190"/>
      <c r="HL157" s="190"/>
      <c r="HM157" s="190"/>
      <c r="HN157" s="190"/>
      <c r="HO157" s="190"/>
      <c r="HP157" s="190"/>
      <c r="HQ157" s="190"/>
      <c r="HR157" s="190"/>
      <c r="HS157" s="190"/>
      <c r="HT157" s="190"/>
      <c r="HU157" s="190"/>
      <c r="HV157" s="190"/>
      <c r="HW157" s="190"/>
      <c r="HX157" s="190"/>
      <c r="HY157" s="190"/>
      <c r="HZ157" s="190"/>
      <c r="IA157" s="190"/>
      <c r="IB157" s="190"/>
    </row>
    <row r="158" spans="1:236" s="137" customFormat="1" ht="14.25">
      <c r="A158" s="190"/>
      <c r="B158" s="190"/>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190"/>
      <c r="BU158" s="190"/>
      <c r="BV158" s="190"/>
      <c r="BW158" s="190"/>
      <c r="BX158" s="190"/>
      <c r="BY158" s="190"/>
      <c r="BZ158" s="190"/>
      <c r="CA158" s="190"/>
      <c r="CB158" s="190"/>
      <c r="CC158" s="190"/>
      <c r="CD158" s="190"/>
      <c r="CE158" s="190"/>
      <c r="CF158" s="190"/>
      <c r="CG158" s="190"/>
      <c r="CH158" s="190"/>
      <c r="CI158" s="190"/>
      <c r="CJ158" s="190"/>
      <c r="CK158" s="190"/>
      <c r="CL158" s="190"/>
      <c r="CM158" s="190"/>
      <c r="CN158" s="190"/>
      <c r="CO158" s="190"/>
      <c r="CP158" s="190"/>
      <c r="CQ158" s="190"/>
      <c r="CR158" s="190"/>
      <c r="CS158" s="190"/>
      <c r="CT158" s="190"/>
      <c r="CU158" s="190"/>
      <c r="CV158" s="190"/>
      <c r="CW158" s="190"/>
      <c r="CX158" s="190"/>
      <c r="CY158" s="190"/>
      <c r="CZ158" s="190"/>
      <c r="DA158" s="190"/>
      <c r="DB158" s="190"/>
      <c r="DC158" s="190"/>
      <c r="DD158" s="190"/>
      <c r="DE158" s="190"/>
      <c r="DF158" s="190"/>
      <c r="DG158" s="190"/>
      <c r="DH158" s="190"/>
      <c r="DI158" s="190"/>
      <c r="DJ158" s="190"/>
      <c r="DK158" s="190"/>
      <c r="DL158" s="190"/>
      <c r="DM158" s="190"/>
      <c r="DN158" s="190"/>
      <c r="DO158" s="190"/>
      <c r="DP158" s="190"/>
      <c r="DQ158" s="190"/>
      <c r="DR158" s="190"/>
      <c r="DS158" s="190"/>
      <c r="DT158" s="190"/>
      <c r="DU158" s="190"/>
      <c r="DV158" s="190"/>
      <c r="DW158" s="190"/>
      <c r="DX158" s="190"/>
      <c r="DY158" s="190"/>
      <c r="DZ158" s="190"/>
      <c r="EA158" s="190"/>
      <c r="EB158" s="190"/>
      <c r="EC158" s="190"/>
      <c r="ED158" s="190"/>
      <c r="EE158" s="190"/>
      <c r="EF158" s="190"/>
      <c r="EG158" s="190"/>
      <c r="EH158" s="190"/>
      <c r="EI158" s="190"/>
      <c r="EJ158" s="190"/>
      <c r="EK158" s="190"/>
      <c r="EL158" s="190"/>
      <c r="EM158" s="190"/>
      <c r="EN158" s="190"/>
      <c r="EO158" s="190"/>
      <c r="EP158" s="190"/>
      <c r="EQ158" s="190"/>
      <c r="ER158" s="190"/>
      <c r="ES158" s="190"/>
      <c r="ET158" s="190"/>
      <c r="EU158" s="190"/>
      <c r="EV158" s="190"/>
      <c r="EW158" s="190"/>
      <c r="EX158" s="190"/>
      <c r="EY158" s="190"/>
      <c r="EZ158" s="190"/>
      <c r="FA158" s="190"/>
      <c r="FB158" s="190"/>
      <c r="FC158" s="190"/>
      <c r="FD158" s="190"/>
      <c r="FE158" s="190"/>
      <c r="FF158" s="190"/>
      <c r="FG158" s="190"/>
      <c r="FH158" s="190"/>
      <c r="FI158" s="190"/>
      <c r="FJ158" s="190"/>
      <c r="FK158" s="190"/>
      <c r="FL158" s="190"/>
      <c r="FM158" s="190"/>
      <c r="FN158" s="190"/>
      <c r="FO158" s="190"/>
      <c r="FP158" s="190"/>
      <c r="FQ158" s="190"/>
      <c r="FR158" s="190"/>
      <c r="FS158" s="190"/>
      <c r="FT158" s="190"/>
      <c r="FU158" s="190"/>
      <c r="FV158" s="190"/>
      <c r="FW158" s="190"/>
      <c r="FX158" s="190"/>
      <c r="FY158" s="190"/>
      <c r="FZ158" s="190"/>
      <c r="GA158" s="190"/>
      <c r="GB158" s="190"/>
      <c r="GC158" s="190"/>
      <c r="GD158" s="190"/>
      <c r="GE158" s="190"/>
      <c r="GF158" s="190"/>
      <c r="GG158" s="190"/>
      <c r="GH158" s="190"/>
      <c r="GI158" s="190"/>
      <c r="GJ158" s="190"/>
      <c r="GK158" s="190"/>
      <c r="GL158" s="190"/>
      <c r="GM158" s="190"/>
      <c r="GN158" s="190"/>
      <c r="GO158" s="190"/>
      <c r="GP158" s="190"/>
      <c r="GQ158" s="190"/>
      <c r="GR158" s="190"/>
      <c r="GS158" s="190"/>
      <c r="GT158" s="190"/>
      <c r="GU158" s="190"/>
      <c r="GV158" s="190"/>
      <c r="GW158" s="190"/>
      <c r="GX158" s="190"/>
      <c r="GY158" s="190"/>
      <c r="GZ158" s="190"/>
      <c r="HA158" s="190"/>
      <c r="HB158" s="190"/>
      <c r="HC158" s="190"/>
      <c r="HD158" s="190"/>
      <c r="HE158" s="190"/>
      <c r="HF158" s="190"/>
      <c r="HG158" s="190"/>
      <c r="HH158" s="190"/>
      <c r="HI158" s="190"/>
      <c r="HJ158" s="190"/>
      <c r="HK158" s="190"/>
      <c r="HL158" s="190"/>
      <c r="HM158" s="190"/>
      <c r="HN158" s="190"/>
      <c r="HO158" s="190"/>
      <c r="HP158" s="190"/>
      <c r="HQ158" s="190"/>
      <c r="HR158" s="190"/>
      <c r="HS158" s="190"/>
      <c r="HT158" s="190"/>
      <c r="HU158" s="190"/>
      <c r="HV158" s="190"/>
      <c r="HW158" s="190"/>
      <c r="HX158" s="190"/>
      <c r="HY158" s="190"/>
      <c r="HZ158" s="190"/>
      <c r="IA158" s="190"/>
      <c r="IB158" s="190"/>
    </row>
    <row r="159" spans="1:236" s="137" customFormat="1" ht="14.25">
      <c r="A159" s="190"/>
      <c r="B159" s="190"/>
      <c r="C159" s="190"/>
      <c r="D159" s="190"/>
      <c r="E159" s="190"/>
      <c r="F159" s="190"/>
      <c r="G159" s="190"/>
      <c r="H159" s="190"/>
      <c r="I159" s="190"/>
      <c r="J159" s="190"/>
      <c r="K159" s="190"/>
      <c r="L159" s="190"/>
      <c r="M159" s="190"/>
      <c r="N159" s="190"/>
      <c r="O159" s="190"/>
      <c r="P159" s="190"/>
      <c r="Q159" s="190"/>
      <c r="R159" s="190"/>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190"/>
      <c r="AV159" s="190"/>
      <c r="AW159" s="190"/>
      <c r="AX159" s="190"/>
      <c r="AY159" s="190"/>
      <c r="AZ159" s="190"/>
      <c r="BA159" s="190"/>
      <c r="BB159" s="190"/>
      <c r="BC159" s="190"/>
      <c r="BD159" s="190"/>
      <c r="BE159" s="190"/>
      <c r="BF159" s="190"/>
      <c r="BG159" s="190"/>
      <c r="BH159" s="190"/>
      <c r="BI159" s="190"/>
      <c r="BJ159" s="190"/>
      <c r="BK159" s="190"/>
      <c r="BL159" s="190"/>
      <c r="BM159" s="190"/>
      <c r="BN159" s="190"/>
      <c r="BO159" s="190"/>
      <c r="BP159" s="190"/>
      <c r="BQ159" s="190"/>
      <c r="BR159" s="190"/>
      <c r="BS159" s="190"/>
      <c r="BT159" s="190"/>
      <c r="BU159" s="190"/>
      <c r="BV159" s="190"/>
      <c r="BW159" s="190"/>
      <c r="BX159" s="190"/>
      <c r="BY159" s="190"/>
      <c r="BZ159" s="190"/>
      <c r="CA159" s="190"/>
      <c r="CB159" s="190"/>
      <c r="CC159" s="190"/>
      <c r="CD159" s="190"/>
      <c r="CE159" s="190"/>
      <c r="CF159" s="190"/>
      <c r="CG159" s="190"/>
      <c r="CH159" s="190"/>
      <c r="CI159" s="190"/>
      <c r="CJ159" s="190"/>
      <c r="CK159" s="190"/>
      <c r="CL159" s="190"/>
      <c r="CM159" s="190"/>
      <c r="CN159" s="190"/>
      <c r="CO159" s="190"/>
      <c r="CP159" s="190"/>
      <c r="CQ159" s="190"/>
      <c r="CR159" s="190"/>
      <c r="CS159" s="190"/>
      <c r="CT159" s="190"/>
      <c r="CU159" s="190"/>
      <c r="CV159" s="190"/>
      <c r="CW159" s="190"/>
      <c r="CX159" s="190"/>
      <c r="CY159" s="190"/>
      <c r="CZ159" s="190"/>
      <c r="DA159" s="190"/>
      <c r="DB159" s="190"/>
      <c r="DC159" s="190"/>
      <c r="DD159" s="190"/>
      <c r="DE159" s="190"/>
      <c r="DF159" s="190"/>
      <c r="DG159" s="190"/>
      <c r="DH159" s="190"/>
      <c r="DI159" s="190"/>
      <c r="DJ159" s="190"/>
      <c r="DK159" s="190"/>
      <c r="DL159" s="190"/>
      <c r="DM159" s="190"/>
      <c r="DN159" s="190"/>
      <c r="DO159" s="190"/>
      <c r="DP159" s="190"/>
      <c r="DQ159" s="190"/>
      <c r="DR159" s="190"/>
      <c r="DS159" s="190"/>
      <c r="DT159" s="190"/>
      <c r="DU159" s="190"/>
      <c r="DV159" s="190"/>
      <c r="DW159" s="190"/>
      <c r="DX159" s="190"/>
      <c r="DY159" s="190"/>
      <c r="DZ159" s="190"/>
      <c r="EA159" s="190"/>
      <c r="EB159" s="190"/>
      <c r="EC159" s="190"/>
      <c r="ED159" s="190"/>
      <c r="EE159" s="190"/>
      <c r="EF159" s="190"/>
      <c r="EG159" s="190"/>
      <c r="EH159" s="190"/>
      <c r="EI159" s="190"/>
      <c r="EJ159" s="190"/>
      <c r="EK159" s="190"/>
      <c r="EL159" s="190"/>
      <c r="EM159" s="190"/>
      <c r="EN159" s="190"/>
      <c r="EO159" s="190"/>
      <c r="EP159" s="190"/>
      <c r="EQ159" s="190"/>
      <c r="ER159" s="190"/>
      <c r="ES159" s="190"/>
      <c r="ET159" s="190"/>
      <c r="EU159" s="190"/>
      <c r="EV159" s="190"/>
      <c r="EW159" s="190"/>
      <c r="EX159" s="190"/>
      <c r="EY159" s="190"/>
      <c r="EZ159" s="190"/>
      <c r="FA159" s="190"/>
      <c r="FB159" s="190"/>
      <c r="FC159" s="190"/>
      <c r="FD159" s="190"/>
      <c r="FE159" s="190"/>
      <c r="FF159" s="190"/>
      <c r="FG159" s="190"/>
      <c r="FH159" s="190"/>
      <c r="FI159" s="190"/>
      <c r="FJ159" s="190"/>
      <c r="FK159" s="190"/>
      <c r="FL159" s="190"/>
      <c r="FM159" s="190"/>
      <c r="FN159" s="190"/>
      <c r="FO159" s="190"/>
      <c r="FP159" s="190"/>
      <c r="FQ159" s="190"/>
      <c r="FR159" s="190"/>
      <c r="FS159" s="190"/>
      <c r="FT159" s="190"/>
      <c r="FU159" s="190"/>
      <c r="FV159" s="190"/>
      <c r="FW159" s="190"/>
      <c r="FX159" s="190"/>
      <c r="FY159" s="190"/>
      <c r="FZ159" s="190"/>
      <c r="GA159" s="190"/>
      <c r="GB159" s="190"/>
      <c r="GC159" s="190"/>
      <c r="GD159" s="190"/>
      <c r="GE159" s="190"/>
      <c r="GF159" s="190"/>
      <c r="GG159" s="190"/>
      <c r="GH159" s="190"/>
      <c r="GI159" s="190"/>
      <c r="GJ159" s="190"/>
      <c r="GK159" s="190"/>
      <c r="GL159" s="190"/>
      <c r="GM159" s="190"/>
      <c r="GN159" s="190"/>
      <c r="GO159" s="190"/>
      <c r="GP159" s="190"/>
      <c r="GQ159" s="190"/>
      <c r="GR159" s="190"/>
      <c r="GS159" s="190"/>
      <c r="GT159" s="190"/>
      <c r="GU159" s="190"/>
      <c r="GV159" s="190"/>
      <c r="GW159" s="190"/>
      <c r="GX159" s="190"/>
      <c r="GY159" s="190"/>
      <c r="GZ159" s="190"/>
      <c r="HA159" s="190"/>
      <c r="HB159" s="190"/>
      <c r="HC159" s="190"/>
      <c r="HD159" s="190"/>
      <c r="HE159" s="190"/>
      <c r="HF159" s="190"/>
      <c r="HG159" s="190"/>
      <c r="HH159" s="190"/>
      <c r="HI159" s="190"/>
      <c r="HJ159" s="190"/>
      <c r="HK159" s="190"/>
      <c r="HL159" s="190"/>
      <c r="HM159" s="190"/>
      <c r="HN159" s="190"/>
      <c r="HO159" s="190"/>
      <c r="HP159" s="190"/>
      <c r="HQ159" s="190"/>
      <c r="HR159" s="190"/>
      <c r="HS159" s="190"/>
      <c r="HT159" s="190"/>
      <c r="HU159" s="190"/>
      <c r="HV159" s="190"/>
      <c r="HW159" s="190"/>
      <c r="HX159" s="190"/>
      <c r="HY159" s="190"/>
      <c r="HZ159" s="190"/>
      <c r="IA159" s="190"/>
      <c r="IB159" s="190"/>
    </row>
    <row r="160" spans="1:236" s="137" customFormat="1" ht="14.25">
      <c r="A160" s="190"/>
      <c r="B160" s="190"/>
      <c r="C160" s="190"/>
      <c r="D160" s="190"/>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190"/>
      <c r="AV160" s="190"/>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190"/>
      <c r="BU160" s="190"/>
      <c r="BV160" s="190"/>
      <c r="BW160" s="190"/>
      <c r="BX160" s="190"/>
      <c r="BY160" s="190"/>
      <c r="BZ160" s="190"/>
      <c r="CA160" s="190"/>
      <c r="CB160" s="190"/>
      <c r="CC160" s="190"/>
      <c r="CD160" s="190"/>
      <c r="CE160" s="190"/>
      <c r="CF160" s="190"/>
      <c r="CG160" s="190"/>
      <c r="CH160" s="190"/>
      <c r="CI160" s="190"/>
      <c r="CJ160" s="190"/>
      <c r="CK160" s="190"/>
      <c r="CL160" s="190"/>
      <c r="CM160" s="190"/>
      <c r="CN160" s="190"/>
      <c r="CO160" s="190"/>
      <c r="CP160" s="190"/>
      <c r="CQ160" s="190"/>
      <c r="CR160" s="190"/>
      <c r="CS160" s="190"/>
      <c r="CT160" s="190"/>
      <c r="CU160" s="190"/>
      <c r="CV160" s="190"/>
      <c r="CW160" s="190"/>
      <c r="CX160" s="190"/>
      <c r="CY160" s="190"/>
      <c r="CZ160" s="190"/>
      <c r="DA160" s="190"/>
      <c r="DB160" s="190"/>
      <c r="DC160" s="190"/>
      <c r="DD160" s="190"/>
      <c r="DE160" s="190"/>
      <c r="DF160" s="190"/>
      <c r="DG160" s="190"/>
      <c r="DH160" s="190"/>
      <c r="DI160" s="190"/>
      <c r="DJ160" s="190"/>
      <c r="DK160" s="190"/>
      <c r="DL160" s="190"/>
      <c r="DM160" s="190"/>
      <c r="DN160" s="190"/>
      <c r="DO160" s="190"/>
      <c r="DP160" s="190"/>
      <c r="DQ160" s="190"/>
      <c r="DR160" s="190"/>
      <c r="DS160" s="190"/>
      <c r="DT160" s="190"/>
      <c r="DU160" s="190"/>
      <c r="DV160" s="190"/>
      <c r="DW160" s="190"/>
      <c r="DX160" s="190"/>
      <c r="DY160" s="190"/>
      <c r="DZ160" s="190"/>
      <c r="EA160" s="190"/>
      <c r="EB160" s="190"/>
      <c r="EC160" s="190"/>
      <c r="ED160" s="190"/>
      <c r="EE160" s="190"/>
      <c r="EF160" s="190"/>
      <c r="EG160" s="190"/>
      <c r="EH160" s="190"/>
      <c r="EI160" s="190"/>
      <c r="EJ160" s="190"/>
      <c r="EK160" s="190"/>
      <c r="EL160" s="190"/>
      <c r="EM160" s="190"/>
      <c r="EN160" s="190"/>
      <c r="EO160" s="190"/>
      <c r="EP160" s="190"/>
      <c r="EQ160" s="190"/>
      <c r="ER160" s="190"/>
      <c r="ES160" s="190"/>
      <c r="ET160" s="190"/>
      <c r="EU160" s="190"/>
      <c r="EV160" s="190"/>
      <c r="EW160" s="190"/>
      <c r="EX160" s="190"/>
      <c r="EY160" s="190"/>
      <c r="EZ160" s="190"/>
      <c r="FA160" s="190"/>
      <c r="FB160" s="190"/>
      <c r="FC160" s="190"/>
      <c r="FD160" s="190"/>
      <c r="FE160" s="190"/>
      <c r="FF160" s="190"/>
      <c r="FG160" s="190"/>
      <c r="FH160" s="190"/>
      <c r="FI160" s="190"/>
      <c r="FJ160" s="190"/>
      <c r="FK160" s="190"/>
      <c r="FL160" s="190"/>
      <c r="FM160" s="190"/>
      <c r="FN160" s="190"/>
      <c r="FO160" s="190"/>
      <c r="FP160" s="190"/>
      <c r="FQ160" s="190"/>
      <c r="FR160" s="190"/>
      <c r="FS160" s="190"/>
      <c r="FT160" s="190"/>
      <c r="FU160" s="190"/>
      <c r="FV160" s="190"/>
      <c r="FW160" s="190"/>
      <c r="FX160" s="190"/>
      <c r="FY160" s="190"/>
      <c r="FZ160" s="190"/>
      <c r="GA160" s="190"/>
      <c r="GB160" s="190"/>
      <c r="GC160" s="190"/>
      <c r="GD160" s="190"/>
      <c r="GE160" s="190"/>
      <c r="GF160" s="190"/>
      <c r="GG160" s="190"/>
      <c r="GH160" s="190"/>
      <c r="GI160" s="190"/>
      <c r="GJ160" s="190"/>
      <c r="GK160" s="190"/>
      <c r="GL160" s="190"/>
      <c r="GM160" s="190"/>
      <c r="GN160" s="190"/>
      <c r="GO160" s="190"/>
      <c r="GP160" s="190"/>
      <c r="GQ160" s="190"/>
      <c r="GR160" s="190"/>
      <c r="GS160" s="190"/>
      <c r="GT160" s="190"/>
      <c r="GU160" s="190"/>
      <c r="GV160" s="190"/>
      <c r="GW160" s="190"/>
      <c r="GX160" s="190"/>
      <c r="GY160" s="190"/>
      <c r="GZ160" s="190"/>
      <c r="HA160" s="190"/>
      <c r="HB160" s="190"/>
      <c r="HC160" s="190"/>
      <c r="HD160" s="190"/>
      <c r="HE160" s="190"/>
      <c r="HF160" s="190"/>
      <c r="HG160" s="190"/>
      <c r="HH160" s="190"/>
      <c r="HI160" s="190"/>
      <c r="HJ160" s="190"/>
      <c r="HK160" s="190"/>
      <c r="HL160" s="190"/>
      <c r="HM160" s="190"/>
      <c r="HN160" s="190"/>
      <c r="HO160" s="190"/>
      <c r="HP160" s="190"/>
      <c r="HQ160" s="190"/>
      <c r="HR160" s="190"/>
      <c r="HS160" s="190"/>
      <c r="HT160" s="190"/>
      <c r="HU160" s="190"/>
      <c r="HV160" s="190"/>
      <c r="HW160" s="190"/>
      <c r="HX160" s="190"/>
      <c r="HY160" s="190"/>
      <c r="HZ160" s="190"/>
      <c r="IA160" s="190"/>
      <c r="IB160" s="190"/>
    </row>
    <row r="161" spans="1:236" s="137" customFormat="1" ht="14.25">
      <c r="A161" s="190"/>
      <c r="B161" s="190"/>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190"/>
      <c r="AV161" s="190"/>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190"/>
      <c r="BU161" s="190"/>
      <c r="BV161" s="190"/>
      <c r="BW161" s="190"/>
      <c r="BX161" s="190"/>
      <c r="BY161" s="190"/>
      <c r="BZ161" s="190"/>
      <c r="CA161" s="190"/>
      <c r="CB161" s="190"/>
      <c r="CC161" s="190"/>
      <c r="CD161" s="190"/>
      <c r="CE161" s="190"/>
      <c r="CF161" s="190"/>
      <c r="CG161" s="190"/>
      <c r="CH161" s="190"/>
      <c r="CI161" s="190"/>
      <c r="CJ161" s="190"/>
      <c r="CK161" s="190"/>
      <c r="CL161" s="190"/>
      <c r="CM161" s="190"/>
      <c r="CN161" s="190"/>
      <c r="CO161" s="190"/>
      <c r="CP161" s="190"/>
      <c r="CQ161" s="190"/>
      <c r="CR161" s="190"/>
      <c r="CS161" s="190"/>
      <c r="CT161" s="190"/>
      <c r="CU161" s="190"/>
      <c r="CV161" s="190"/>
      <c r="CW161" s="190"/>
      <c r="CX161" s="190"/>
      <c r="CY161" s="190"/>
      <c r="CZ161" s="190"/>
      <c r="DA161" s="190"/>
      <c r="DB161" s="190"/>
      <c r="DC161" s="190"/>
      <c r="DD161" s="190"/>
      <c r="DE161" s="190"/>
      <c r="DF161" s="190"/>
      <c r="DG161" s="190"/>
      <c r="DH161" s="190"/>
      <c r="DI161" s="190"/>
      <c r="DJ161" s="190"/>
      <c r="DK161" s="190"/>
      <c r="DL161" s="190"/>
      <c r="DM161" s="190"/>
      <c r="DN161" s="190"/>
      <c r="DO161" s="190"/>
      <c r="DP161" s="190"/>
      <c r="DQ161" s="190"/>
      <c r="DR161" s="190"/>
      <c r="DS161" s="190"/>
      <c r="DT161" s="190"/>
      <c r="DU161" s="190"/>
      <c r="DV161" s="190"/>
      <c r="DW161" s="190"/>
      <c r="DX161" s="190"/>
      <c r="DY161" s="190"/>
      <c r="DZ161" s="190"/>
      <c r="EA161" s="190"/>
      <c r="EB161" s="190"/>
      <c r="EC161" s="190"/>
      <c r="ED161" s="190"/>
      <c r="EE161" s="190"/>
      <c r="EF161" s="190"/>
      <c r="EG161" s="190"/>
      <c r="EH161" s="190"/>
      <c r="EI161" s="190"/>
      <c r="EJ161" s="190"/>
      <c r="EK161" s="190"/>
      <c r="EL161" s="190"/>
      <c r="EM161" s="190"/>
      <c r="EN161" s="190"/>
      <c r="EO161" s="190"/>
      <c r="EP161" s="190"/>
      <c r="EQ161" s="190"/>
      <c r="ER161" s="190"/>
      <c r="ES161" s="190"/>
      <c r="ET161" s="190"/>
      <c r="EU161" s="190"/>
      <c r="EV161" s="190"/>
      <c r="EW161" s="190"/>
      <c r="EX161" s="190"/>
      <c r="EY161" s="190"/>
      <c r="EZ161" s="190"/>
      <c r="FA161" s="190"/>
      <c r="FB161" s="190"/>
      <c r="FC161" s="190"/>
      <c r="FD161" s="190"/>
      <c r="FE161" s="190"/>
      <c r="FF161" s="190"/>
      <c r="FG161" s="190"/>
      <c r="FH161" s="190"/>
      <c r="FI161" s="190"/>
      <c r="FJ161" s="190"/>
      <c r="FK161" s="190"/>
      <c r="FL161" s="190"/>
      <c r="FM161" s="190"/>
      <c r="FN161" s="190"/>
      <c r="FO161" s="190"/>
      <c r="FP161" s="190"/>
      <c r="FQ161" s="190"/>
      <c r="FR161" s="190"/>
      <c r="FS161" s="190"/>
      <c r="FT161" s="190"/>
      <c r="FU161" s="190"/>
      <c r="FV161" s="190"/>
      <c r="FW161" s="190"/>
      <c r="FX161" s="190"/>
      <c r="FY161" s="190"/>
      <c r="FZ161" s="190"/>
      <c r="GA161" s="190"/>
      <c r="GB161" s="190"/>
      <c r="GC161" s="190"/>
      <c r="GD161" s="190"/>
      <c r="GE161" s="190"/>
      <c r="GF161" s="190"/>
      <c r="GG161" s="190"/>
      <c r="GH161" s="190"/>
      <c r="GI161" s="190"/>
      <c r="GJ161" s="190"/>
      <c r="GK161" s="190"/>
      <c r="GL161" s="190"/>
      <c r="GM161" s="190"/>
      <c r="GN161" s="190"/>
      <c r="GO161" s="190"/>
      <c r="GP161" s="190"/>
      <c r="GQ161" s="190"/>
      <c r="GR161" s="190"/>
      <c r="GS161" s="190"/>
      <c r="GT161" s="190"/>
      <c r="GU161" s="190"/>
      <c r="GV161" s="190"/>
      <c r="GW161" s="190"/>
      <c r="GX161" s="190"/>
      <c r="GY161" s="190"/>
      <c r="GZ161" s="190"/>
      <c r="HA161" s="190"/>
      <c r="HB161" s="190"/>
      <c r="HC161" s="190"/>
      <c r="HD161" s="190"/>
      <c r="HE161" s="190"/>
      <c r="HF161" s="190"/>
      <c r="HG161" s="190"/>
      <c r="HH161" s="190"/>
      <c r="HI161" s="190"/>
      <c r="HJ161" s="190"/>
      <c r="HK161" s="190"/>
      <c r="HL161" s="190"/>
      <c r="HM161" s="190"/>
      <c r="HN161" s="190"/>
      <c r="HO161" s="190"/>
      <c r="HP161" s="190"/>
      <c r="HQ161" s="190"/>
      <c r="HR161" s="190"/>
      <c r="HS161" s="190"/>
      <c r="HT161" s="190"/>
      <c r="HU161" s="190"/>
      <c r="HV161" s="190"/>
      <c r="HW161" s="190"/>
      <c r="HX161" s="190"/>
      <c r="HY161" s="190"/>
      <c r="HZ161" s="190"/>
      <c r="IA161" s="190"/>
      <c r="IB161" s="190"/>
    </row>
    <row r="162" spans="1:236" s="137" customFormat="1" ht="14.25">
      <c r="A162" s="190"/>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c r="BF162" s="190"/>
      <c r="BG162" s="190"/>
      <c r="BH162" s="190"/>
      <c r="BI162" s="190"/>
      <c r="BJ162" s="190"/>
      <c r="BK162" s="190"/>
      <c r="BL162" s="190"/>
      <c r="BM162" s="190"/>
      <c r="BN162" s="190"/>
      <c r="BO162" s="190"/>
      <c r="BP162" s="190"/>
      <c r="BQ162" s="190"/>
      <c r="BR162" s="190"/>
      <c r="BS162" s="190"/>
      <c r="BT162" s="190"/>
      <c r="BU162" s="190"/>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0"/>
      <c r="CS162" s="190"/>
      <c r="CT162" s="190"/>
      <c r="CU162" s="190"/>
      <c r="CV162" s="190"/>
      <c r="CW162" s="190"/>
      <c r="CX162" s="190"/>
      <c r="CY162" s="190"/>
      <c r="CZ162" s="190"/>
      <c r="DA162" s="190"/>
      <c r="DB162" s="190"/>
      <c r="DC162" s="190"/>
      <c r="DD162" s="190"/>
      <c r="DE162" s="190"/>
      <c r="DF162" s="190"/>
      <c r="DG162" s="190"/>
      <c r="DH162" s="190"/>
      <c r="DI162" s="190"/>
      <c r="DJ162" s="190"/>
      <c r="DK162" s="190"/>
      <c r="DL162" s="190"/>
      <c r="DM162" s="190"/>
      <c r="DN162" s="190"/>
      <c r="DO162" s="190"/>
      <c r="DP162" s="190"/>
      <c r="DQ162" s="190"/>
      <c r="DR162" s="190"/>
      <c r="DS162" s="190"/>
      <c r="DT162" s="190"/>
      <c r="DU162" s="190"/>
      <c r="DV162" s="190"/>
      <c r="DW162" s="190"/>
      <c r="DX162" s="190"/>
      <c r="DY162" s="190"/>
      <c r="DZ162" s="190"/>
      <c r="EA162" s="190"/>
      <c r="EB162" s="190"/>
      <c r="EC162" s="190"/>
      <c r="ED162" s="190"/>
      <c r="EE162" s="190"/>
      <c r="EF162" s="190"/>
      <c r="EG162" s="190"/>
      <c r="EH162" s="190"/>
      <c r="EI162" s="190"/>
      <c r="EJ162" s="190"/>
      <c r="EK162" s="190"/>
      <c r="EL162" s="190"/>
      <c r="EM162" s="190"/>
      <c r="EN162" s="190"/>
      <c r="EO162" s="190"/>
      <c r="EP162" s="190"/>
      <c r="EQ162" s="190"/>
      <c r="ER162" s="190"/>
      <c r="ES162" s="190"/>
      <c r="ET162" s="190"/>
      <c r="EU162" s="190"/>
      <c r="EV162" s="190"/>
      <c r="EW162" s="190"/>
      <c r="EX162" s="190"/>
      <c r="EY162" s="190"/>
      <c r="EZ162" s="190"/>
      <c r="FA162" s="190"/>
      <c r="FB162" s="190"/>
      <c r="FC162" s="190"/>
      <c r="FD162" s="190"/>
      <c r="FE162" s="190"/>
      <c r="FF162" s="190"/>
      <c r="FG162" s="190"/>
      <c r="FH162" s="190"/>
      <c r="FI162" s="190"/>
      <c r="FJ162" s="190"/>
      <c r="FK162" s="190"/>
      <c r="FL162" s="190"/>
      <c r="FM162" s="190"/>
      <c r="FN162" s="190"/>
      <c r="FO162" s="190"/>
      <c r="FP162" s="190"/>
      <c r="FQ162" s="190"/>
      <c r="FR162" s="190"/>
      <c r="FS162" s="190"/>
      <c r="FT162" s="190"/>
      <c r="FU162" s="190"/>
      <c r="FV162" s="190"/>
      <c r="FW162" s="190"/>
      <c r="FX162" s="190"/>
      <c r="FY162" s="190"/>
      <c r="FZ162" s="190"/>
      <c r="GA162" s="190"/>
      <c r="GB162" s="190"/>
      <c r="GC162" s="190"/>
      <c r="GD162" s="190"/>
      <c r="GE162" s="190"/>
      <c r="GF162" s="190"/>
      <c r="GG162" s="190"/>
      <c r="GH162" s="190"/>
      <c r="GI162" s="190"/>
      <c r="GJ162" s="190"/>
      <c r="GK162" s="190"/>
      <c r="GL162" s="190"/>
      <c r="GM162" s="190"/>
      <c r="GN162" s="190"/>
      <c r="GO162" s="190"/>
      <c r="GP162" s="190"/>
      <c r="GQ162" s="190"/>
      <c r="GR162" s="190"/>
      <c r="GS162" s="190"/>
      <c r="GT162" s="190"/>
      <c r="GU162" s="190"/>
      <c r="GV162" s="190"/>
      <c r="GW162" s="190"/>
      <c r="GX162" s="190"/>
      <c r="GY162" s="190"/>
      <c r="GZ162" s="190"/>
      <c r="HA162" s="190"/>
      <c r="HB162" s="190"/>
      <c r="HC162" s="190"/>
      <c r="HD162" s="190"/>
      <c r="HE162" s="190"/>
      <c r="HF162" s="190"/>
      <c r="HG162" s="190"/>
      <c r="HH162" s="190"/>
      <c r="HI162" s="190"/>
      <c r="HJ162" s="190"/>
      <c r="HK162" s="190"/>
      <c r="HL162" s="190"/>
      <c r="HM162" s="190"/>
      <c r="HN162" s="190"/>
      <c r="HO162" s="190"/>
      <c r="HP162" s="190"/>
      <c r="HQ162" s="190"/>
      <c r="HR162" s="190"/>
      <c r="HS162" s="190"/>
      <c r="HT162" s="190"/>
      <c r="HU162" s="190"/>
      <c r="HV162" s="190"/>
      <c r="HW162" s="190"/>
      <c r="HX162" s="190"/>
      <c r="HY162" s="190"/>
      <c r="HZ162" s="190"/>
      <c r="IA162" s="190"/>
      <c r="IB162" s="190"/>
    </row>
    <row r="163" spans="1:236" s="137" customFormat="1" ht="14.25">
      <c r="A163" s="190"/>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c r="BP163" s="190"/>
      <c r="BQ163" s="190"/>
      <c r="BR163" s="190"/>
      <c r="BS163" s="190"/>
      <c r="BT163" s="190"/>
      <c r="BU163" s="190"/>
      <c r="BV163" s="190"/>
      <c r="BW163" s="190"/>
      <c r="BX163" s="190"/>
      <c r="BY163" s="190"/>
      <c r="BZ163" s="190"/>
      <c r="CA163" s="190"/>
      <c r="CB163" s="190"/>
      <c r="CC163" s="190"/>
      <c r="CD163" s="190"/>
      <c r="CE163" s="190"/>
      <c r="CF163" s="190"/>
      <c r="CG163" s="190"/>
      <c r="CH163" s="190"/>
      <c r="CI163" s="190"/>
      <c r="CJ163" s="190"/>
      <c r="CK163" s="190"/>
      <c r="CL163" s="190"/>
      <c r="CM163" s="190"/>
      <c r="CN163" s="190"/>
      <c r="CO163" s="190"/>
      <c r="CP163" s="190"/>
      <c r="CQ163" s="190"/>
      <c r="CR163" s="190"/>
      <c r="CS163" s="190"/>
      <c r="CT163" s="190"/>
      <c r="CU163" s="190"/>
      <c r="CV163" s="190"/>
      <c r="CW163" s="190"/>
      <c r="CX163" s="190"/>
      <c r="CY163" s="190"/>
      <c r="CZ163" s="190"/>
      <c r="DA163" s="190"/>
      <c r="DB163" s="190"/>
      <c r="DC163" s="190"/>
      <c r="DD163" s="190"/>
      <c r="DE163" s="190"/>
      <c r="DF163" s="190"/>
      <c r="DG163" s="190"/>
      <c r="DH163" s="190"/>
      <c r="DI163" s="190"/>
      <c r="DJ163" s="190"/>
      <c r="DK163" s="190"/>
      <c r="DL163" s="190"/>
      <c r="DM163" s="190"/>
      <c r="DN163" s="190"/>
      <c r="DO163" s="190"/>
      <c r="DP163" s="190"/>
      <c r="DQ163" s="190"/>
      <c r="DR163" s="190"/>
      <c r="DS163" s="190"/>
      <c r="DT163" s="190"/>
      <c r="DU163" s="190"/>
      <c r="DV163" s="190"/>
      <c r="DW163" s="190"/>
      <c r="DX163" s="190"/>
      <c r="DY163" s="190"/>
      <c r="DZ163" s="190"/>
      <c r="EA163" s="190"/>
      <c r="EB163" s="190"/>
      <c r="EC163" s="190"/>
      <c r="ED163" s="190"/>
      <c r="EE163" s="190"/>
      <c r="EF163" s="190"/>
      <c r="EG163" s="190"/>
      <c r="EH163" s="190"/>
      <c r="EI163" s="190"/>
      <c r="EJ163" s="190"/>
      <c r="EK163" s="190"/>
      <c r="EL163" s="190"/>
      <c r="EM163" s="190"/>
      <c r="EN163" s="190"/>
      <c r="EO163" s="190"/>
      <c r="EP163" s="190"/>
      <c r="EQ163" s="190"/>
      <c r="ER163" s="190"/>
      <c r="ES163" s="190"/>
      <c r="ET163" s="190"/>
      <c r="EU163" s="190"/>
      <c r="EV163" s="190"/>
      <c r="EW163" s="190"/>
      <c r="EX163" s="190"/>
      <c r="EY163" s="190"/>
      <c r="EZ163" s="190"/>
      <c r="FA163" s="190"/>
      <c r="FB163" s="190"/>
      <c r="FC163" s="190"/>
      <c r="FD163" s="190"/>
      <c r="FE163" s="190"/>
      <c r="FF163" s="190"/>
      <c r="FG163" s="190"/>
      <c r="FH163" s="190"/>
      <c r="FI163" s="190"/>
      <c r="FJ163" s="190"/>
      <c r="FK163" s="190"/>
      <c r="FL163" s="190"/>
      <c r="FM163" s="190"/>
      <c r="FN163" s="190"/>
      <c r="FO163" s="190"/>
      <c r="FP163" s="190"/>
      <c r="FQ163" s="190"/>
      <c r="FR163" s="190"/>
      <c r="FS163" s="190"/>
      <c r="FT163" s="190"/>
      <c r="FU163" s="190"/>
      <c r="FV163" s="190"/>
      <c r="FW163" s="190"/>
      <c r="FX163" s="190"/>
      <c r="FY163" s="190"/>
      <c r="FZ163" s="190"/>
      <c r="GA163" s="190"/>
      <c r="GB163" s="190"/>
      <c r="GC163" s="190"/>
      <c r="GD163" s="190"/>
      <c r="GE163" s="190"/>
      <c r="GF163" s="190"/>
      <c r="GG163" s="190"/>
      <c r="GH163" s="190"/>
      <c r="GI163" s="190"/>
      <c r="GJ163" s="190"/>
      <c r="GK163" s="190"/>
      <c r="GL163" s="190"/>
      <c r="GM163" s="190"/>
      <c r="GN163" s="190"/>
      <c r="GO163" s="190"/>
      <c r="GP163" s="190"/>
      <c r="GQ163" s="190"/>
      <c r="GR163" s="190"/>
      <c r="GS163" s="190"/>
      <c r="GT163" s="190"/>
      <c r="GU163" s="190"/>
      <c r="GV163" s="190"/>
      <c r="GW163" s="190"/>
      <c r="GX163" s="190"/>
      <c r="GY163" s="190"/>
      <c r="GZ163" s="190"/>
      <c r="HA163" s="190"/>
      <c r="HB163" s="190"/>
      <c r="HC163" s="190"/>
      <c r="HD163" s="190"/>
      <c r="HE163" s="190"/>
      <c r="HF163" s="190"/>
      <c r="HG163" s="190"/>
      <c r="HH163" s="190"/>
      <c r="HI163" s="190"/>
      <c r="HJ163" s="190"/>
      <c r="HK163" s="190"/>
      <c r="HL163" s="190"/>
      <c r="HM163" s="190"/>
      <c r="HN163" s="190"/>
      <c r="HO163" s="190"/>
      <c r="HP163" s="190"/>
      <c r="HQ163" s="190"/>
      <c r="HR163" s="190"/>
      <c r="HS163" s="190"/>
      <c r="HT163" s="190"/>
      <c r="HU163" s="190"/>
      <c r="HV163" s="190"/>
      <c r="HW163" s="190"/>
      <c r="HX163" s="190"/>
      <c r="HY163" s="190"/>
      <c r="HZ163" s="190"/>
      <c r="IA163" s="190"/>
      <c r="IB163" s="190"/>
    </row>
    <row r="164" spans="1:236" s="137" customFormat="1" ht="14.25">
      <c r="A164" s="190"/>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c r="BP164" s="190"/>
      <c r="BQ164" s="190"/>
      <c r="BR164" s="190"/>
      <c r="BS164" s="190"/>
      <c r="BT164" s="190"/>
      <c r="BU164" s="190"/>
      <c r="BV164" s="190"/>
      <c r="BW164" s="190"/>
      <c r="BX164" s="190"/>
      <c r="BY164" s="190"/>
      <c r="BZ164" s="190"/>
      <c r="CA164" s="190"/>
      <c r="CB164" s="190"/>
      <c r="CC164" s="190"/>
      <c r="CD164" s="190"/>
      <c r="CE164" s="190"/>
      <c r="CF164" s="190"/>
      <c r="CG164" s="190"/>
      <c r="CH164" s="190"/>
      <c r="CI164" s="190"/>
      <c r="CJ164" s="190"/>
      <c r="CK164" s="190"/>
      <c r="CL164" s="190"/>
      <c r="CM164" s="190"/>
      <c r="CN164" s="190"/>
      <c r="CO164" s="190"/>
      <c r="CP164" s="190"/>
      <c r="CQ164" s="190"/>
      <c r="CR164" s="190"/>
      <c r="CS164" s="190"/>
      <c r="CT164" s="190"/>
      <c r="CU164" s="190"/>
      <c r="CV164" s="190"/>
      <c r="CW164" s="190"/>
      <c r="CX164" s="190"/>
      <c r="CY164" s="190"/>
      <c r="CZ164" s="190"/>
      <c r="DA164" s="190"/>
      <c r="DB164" s="190"/>
      <c r="DC164" s="190"/>
      <c r="DD164" s="190"/>
      <c r="DE164" s="190"/>
      <c r="DF164" s="190"/>
      <c r="DG164" s="190"/>
      <c r="DH164" s="190"/>
      <c r="DI164" s="190"/>
      <c r="DJ164" s="190"/>
      <c r="DK164" s="190"/>
      <c r="DL164" s="190"/>
      <c r="DM164" s="190"/>
      <c r="DN164" s="190"/>
      <c r="DO164" s="190"/>
      <c r="DP164" s="190"/>
      <c r="DQ164" s="190"/>
      <c r="DR164" s="190"/>
      <c r="DS164" s="190"/>
      <c r="DT164" s="190"/>
      <c r="DU164" s="190"/>
      <c r="DV164" s="190"/>
      <c r="DW164" s="190"/>
      <c r="DX164" s="190"/>
      <c r="DY164" s="190"/>
      <c r="DZ164" s="190"/>
      <c r="EA164" s="190"/>
      <c r="EB164" s="190"/>
      <c r="EC164" s="190"/>
      <c r="ED164" s="190"/>
      <c r="EE164" s="190"/>
      <c r="EF164" s="190"/>
      <c r="EG164" s="190"/>
      <c r="EH164" s="190"/>
      <c r="EI164" s="190"/>
      <c r="EJ164" s="190"/>
      <c r="EK164" s="190"/>
      <c r="EL164" s="190"/>
      <c r="EM164" s="190"/>
      <c r="EN164" s="190"/>
      <c r="EO164" s="190"/>
      <c r="EP164" s="190"/>
      <c r="EQ164" s="190"/>
      <c r="ER164" s="190"/>
      <c r="ES164" s="190"/>
      <c r="ET164" s="190"/>
      <c r="EU164" s="190"/>
      <c r="EV164" s="190"/>
      <c r="EW164" s="190"/>
      <c r="EX164" s="190"/>
      <c r="EY164" s="190"/>
      <c r="EZ164" s="190"/>
      <c r="FA164" s="190"/>
      <c r="FB164" s="190"/>
      <c r="FC164" s="190"/>
      <c r="FD164" s="190"/>
      <c r="FE164" s="190"/>
      <c r="FF164" s="190"/>
      <c r="FG164" s="190"/>
      <c r="FH164" s="190"/>
      <c r="FI164" s="190"/>
      <c r="FJ164" s="190"/>
      <c r="FK164" s="190"/>
      <c r="FL164" s="190"/>
      <c r="FM164" s="190"/>
      <c r="FN164" s="190"/>
      <c r="FO164" s="190"/>
      <c r="FP164" s="190"/>
      <c r="FQ164" s="190"/>
      <c r="FR164" s="190"/>
      <c r="FS164" s="190"/>
      <c r="FT164" s="190"/>
      <c r="FU164" s="190"/>
      <c r="FV164" s="190"/>
      <c r="FW164" s="190"/>
      <c r="FX164" s="190"/>
      <c r="FY164" s="190"/>
      <c r="FZ164" s="190"/>
      <c r="GA164" s="190"/>
      <c r="GB164" s="190"/>
      <c r="GC164" s="190"/>
      <c r="GD164" s="190"/>
      <c r="GE164" s="190"/>
      <c r="GF164" s="190"/>
      <c r="GG164" s="190"/>
      <c r="GH164" s="190"/>
      <c r="GI164" s="190"/>
      <c r="GJ164" s="190"/>
      <c r="GK164" s="190"/>
      <c r="GL164" s="190"/>
      <c r="GM164" s="190"/>
      <c r="GN164" s="190"/>
      <c r="GO164" s="190"/>
      <c r="GP164" s="190"/>
      <c r="GQ164" s="190"/>
      <c r="GR164" s="190"/>
      <c r="GS164" s="190"/>
      <c r="GT164" s="190"/>
      <c r="GU164" s="190"/>
      <c r="GV164" s="190"/>
      <c r="GW164" s="190"/>
      <c r="GX164" s="190"/>
      <c r="GY164" s="190"/>
      <c r="GZ164" s="190"/>
      <c r="HA164" s="190"/>
      <c r="HB164" s="190"/>
      <c r="HC164" s="190"/>
      <c r="HD164" s="190"/>
      <c r="HE164" s="190"/>
      <c r="HF164" s="190"/>
      <c r="HG164" s="190"/>
      <c r="HH164" s="190"/>
      <c r="HI164" s="190"/>
      <c r="HJ164" s="190"/>
      <c r="HK164" s="190"/>
      <c r="HL164" s="190"/>
      <c r="HM164" s="190"/>
      <c r="HN164" s="190"/>
      <c r="HO164" s="190"/>
      <c r="HP164" s="190"/>
      <c r="HQ164" s="190"/>
      <c r="HR164" s="190"/>
      <c r="HS164" s="190"/>
      <c r="HT164" s="190"/>
      <c r="HU164" s="190"/>
      <c r="HV164" s="190"/>
      <c r="HW164" s="190"/>
      <c r="HX164" s="190"/>
      <c r="HY164" s="190"/>
      <c r="HZ164" s="190"/>
      <c r="IA164" s="190"/>
      <c r="IB164" s="190"/>
    </row>
    <row r="165" spans="1:236" s="137" customFormat="1" ht="14.25">
      <c r="A165" s="190"/>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c r="BF165" s="190"/>
      <c r="BG165" s="190"/>
      <c r="BH165" s="190"/>
      <c r="BI165" s="190"/>
      <c r="BJ165" s="190"/>
      <c r="BK165" s="190"/>
      <c r="BL165" s="190"/>
      <c r="BM165" s="190"/>
      <c r="BN165" s="190"/>
      <c r="BO165" s="190"/>
      <c r="BP165" s="190"/>
      <c r="BQ165" s="190"/>
      <c r="BR165" s="190"/>
      <c r="BS165" s="190"/>
      <c r="BT165" s="190"/>
      <c r="BU165" s="190"/>
      <c r="BV165" s="190"/>
      <c r="BW165" s="190"/>
      <c r="BX165" s="190"/>
      <c r="BY165" s="190"/>
      <c r="BZ165" s="190"/>
      <c r="CA165" s="190"/>
      <c r="CB165" s="190"/>
      <c r="CC165" s="190"/>
      <c r="CD165" s="190"/>
      <c r="CE165" s="190"/>
      <c r="CF165" s="190"/>
      <c r="CG165" s="190"/>
      <c r="CH165" s="190"/>
      <c r="CI165" s="190"/>
      <c r="CJ165" s="190"/>
      <c r="CK165" s="190"/>
      <c r="CL165" s="190"/>
      <c r="CM165" s="190"/>
      <c r="CN165" s="190"/>
      <c r="CO165" s="190"/>
      <c r="CP165" s="190"/>
      <c r="CQ165" s="190"/>
      <c r="CR165" s="190"/>
      <c r="CS165" s="190"/>
      <c r="CT165" s="190"/>
      <c r="CU165" s="190"/>
      <c r="CV165" s="190"/>
      <c r="CW165" s="190"/>
      <c r="CX165" s="190"/>
      <c r="CY165" s="190"/>
      <c r="CZ165" s="190"/>
      <c r="DA165" s="190"/>
      <c r="DB165" s="190"/>
      <c r="DC165" s="190"/>
      <c r="DD165" s="190"/>
      <c r="DE165" s="190"/>
      <c r="DF165" s="190"/>
      <c r="DG165" s="190"/>
      <c r="DH165" s="190"/>
      <c r="DI165" s="190"/>
      <c r="DJ165" s="190"/>
      <c r="DK165" s="190"/>
      <c r="DL165" s="190"/>
      <c r="DM165" s="190"/>
      <c r="DN165" s="190"/>
      <c r="DO165" s="190"/>
      <c r="DP165" s="190"/>
      <c r="DQ165" s="190"/>
      <c r="DR165" s="190"/>
      <c r="DS165" s="190"/>
      <c r="DT165" s="190"/>
      <c r="DU165" s="190"/>
      <c r="DV165" s="190"/>
      <c r="DW165" s="190"/>
      <c r="DX165" s="190"/>
      <c r="DY165" s="190"/>
      <c r="DZ165" s="190"/>
      <c r="EA165" s="190"/>
      <c r="EB165" s="190"/>
      <c r="EC165" s="190"/>
      <c r="ED165" s="190"/>
      <c r="EE165" s="190"/>
      <c r="EF165" s="190"/>
      <c r="EG165" s="190"/>
      <c r="EH165" s="190"/>
      <c r="EI165" s="190"/>
      <c r="EJ165" s="190"/>
      <c r="EK165" s="190"/>
      <c r="EL165" s="190"/>
      <c r="EM165" s="190"/>
      <c r="EN165" s="190"/>
      <c r="EO165" s="190"/>
      <c r="EP165" s="190"/>
      <c r="EQ165" s="190"/>
      <c r="ER165" s="190"/>
      <c r="ES165" s="190"/>
      <c r="ET165" s="190"/>
      <c r="EU165" s="190"/>
      <c r="EV165" s="190"/>
      <c r="EW165" s="190"/>
      <c r="EX165" s="190"/>
      <c r="EY165" s="190"/>
      <c r="EZ165" s="190"/>
      <c r="FA165" s="190"/>
      <c r="FB165" s="190"/>
      <c r="FC165" s="190"/>
      <c r="FD165" s="190"/>
      <c r="FE165" s="190"/>
      <c r="FF165" s="190"/>
      <c r="FG165" s="190"/>
      <c r="FH165" s="190"/>
      <c r="FI165" s="190"/>
      <c r="FJ165" s="190"/>
      <c r="FK165" s="190"/>
      <c r="FL165" s="190"/>
      <c r="FM165" s="190"/>
      <c r="FN165" s="190"/>
      <c r="FO165" s="190"/>
      <c r="FP165" s="190"/>
      <c r="FQ165" s="190"/>
      <c r="FR165" s="190"/>
      <c r="FS165" s="190"/>
      <c r="FT165" s="190"/>
      <c r="FU165" s="190"/>
      <c r="FV165" s="190"/>
      <c r="FW165" s="190"/>
      <c r="FX165" s="190"/>
      <c r="FY165" s="190"/>
      <c r="FZ165" s="190"/>
      <c r="GA165" s="190"/>
      <c r="GB165" s="190"/>
      <c r="GC165" s="190"/>
      <c r="GD165" s="190"/>
      <c r="GE165" s="190"/>
      <c r="GF165" s="190"/>
      <c r="GG165" s="190"/>
      <c r="GH165" s="190"/>
      <c r="GI165" s="190"/>
      <c r="GJ165" s="190"/>
      <c r="GK165" s="190"/>
      <c r="GL165" s="190"/>
      <c r="GM165" s="190"/>
      <c r="GN165" s="190"/>
      <c r="GO165" s="190"/>
      <c r="GP165" s="190"/>
      <c r="GQ165" s="190"/>
      <c r="GR165" s="190"/>
      <c r="GS165" s="190"/>
      <c r="GT165" s="190"/>
      <c r="GU165" s="190"/>
      <c r="GV165" s="190"/>
      <c r="GW165" s="190"/>
      <c r="GX165" s="190"/>
      <c r="GY165" s="190"/>
      <c r="GZ165" s="190"/>
      <c r="HA165" s="190"/>
      <c r="HB165" s="190"/>
      <c r="HC165" s="190"/>
      <c r="HD165" s="190"/>
      <c r="HE165" s="190"/>
      <c r="HF165" s="190"/>
      <c r="HG165" s="190"/>
      <c r="HH165" s="190"/>
      <c r="HI165" s="190"/>
      <c r="HJ165" s="190"/>
      <c r="HK165" s="190"/>
      <c r="HL165" s="190"/>
      <c r="HM165" s="190"/>
      <c r="HN165" s="190"/>
      <c r="HO165" s="190"/>
      <c r="HP165" s="190"/>
      <c r="HQ165" s="190"/>
      <c r="HR165" s="190"/>
      <c r="HS165" s="190"/>
      <c r="HT165" s="190"/>
      <c r="HU165" s="190"/>
      <c r="HV165" s="190"/>
      <c r="HW165" s="190"/>
      <c r="HX165" s="190"/>
      <c r="HY165" s="190"/>
      <c r="HZ165" s="190"/>
      <c r="IA165" s="190"/>
      <c r="IB165" s="190"/>
    </row>
    <row r="166" spans="1:236" s="137" customFormat="1" ht="14.25">
      <c r="A166" s="190"/>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BV166" s="190"/>
      <c r="BW166" s="190"/>
      <c r="BX166" s="190"/>
      <c r="BY166" s="190"/>
      <c r="BZ166" s="190"/>
      <c r="CA166" s="190"/>
      <c r="CB166" s="190"/>
      <c r="CC166" s="190"/>
      <c r="CD166" s="190"/>
      <c r="CE166" s="190"/>
      <c r="CF166" s="190"/>
      <c r="CG166" s="190"/>
      <c r="CH166" s="190"/>
      <c r="CI166" s="190"/>
      <c r="CJ166" s="190"/>
      <c r="CK166" s="190"/>
      <c r="CL166" s="190"/>
      <c r="CM166" s="190"/>
      <c r="CN166" s="190"/>
      <c r="CO166" s="190"/>
      <c r="CP166" s="190"/>
      <c r="CQ166" s="190"/>
      <c r="CR166" s="190"/>
      <c r="CS166" s="190"/>
      <c r="CT166" s="190"/>
      <c r="CU166" s="190"/>
      <c r="CV166" s="190"/>
      <c r="CW166" s="190"/>
      <c r="CX166" s="190"/>
      <c r="CY166" s="190"/>
      <c r="CZ166" s="190"/>
      <c r="DA166" s="190"/>
      <c r="DB166" s="190"/>
      <c r="DC166" s="190"/>
      <c r="DD166" s="190"/>
      <c r="DE166" s="190"/>
      <c r="DF166" s="190"/>
      <c r="DG166" s="190"/>
      <c r="DH166" s="190"/>
      <c r="DI166" s="190"/>
      <c r="DJ166" s="190"/>
      <c r="DK166" s="190"/>
      <c r="DL166" s="190"/>
      <c r="DM166" s="190"/>
      <c r="DN166" s="190"/>
      <c r="DO166" s="190"/>
      <c r="DP166" s="190"/>
      <c r="DQ166" s="190"/>
      <c r="DR166" s="190"/>
      <c r="DS166" s="190"/>
      <c r="DT166" s="190"/>
      <c r="DU166" s="190"/>
      <c r="DV166" s="190"/>
      <c r="DW166" s="190"/>
      <c r="DX166" s="190"/>
      <c r="DY166" s="190"/>
      <c r="DZ166" s="190"/>
      <c r="EA166" s="190"/>
      <c r="EB166" s="190"/>
      <c r="EC166" s="190"/>
      <c r="ED166" s="190"/>
      <c r="EE166" s="190"/>
      <c r="EF166" s="190"/>
      <c r="EG166" s="190"/>
      <c r="EH166" s="190"/>
      <c r="EI166" s="190"/>
      <c r="EJ166" s="190"/>
      <c r="EK166" s="190"/>
      <c r="EL166" s="190"/>
      <c r="EM166" s="190"/>
      <c r="EN166" s="190"/>
      <c r="EO166" s="190"/>
      <c r="EP166" s="190"/>
      <c r="EQ166" s="190"/>
      <c r="ER166" s="190"/>
      <c r="ES166" s="190"/>
      <c r="ET166" s="190"/>
      <c r="EU166" s="190"/>
      <c r="EV166" s="190"/>
      <c r="EW166" s="190"/>
      <c r="EX166" s="190"/>
      <c r="EY166" s="190"/>
      <c r="EZ166" s="190"/>
      <c r="FA166" s="190"/>
      <c r="FB166" s="190"/>
      <c r="FC166" s="190"/>
      <c r="FD166" s="190"/>
      <c r="FE166" s="190"/>
      <c r="FF166" s="190"/>
      <c r="FG166" s="190"/>
      <c r="FH166" s="190"/>
      <c r="FI166" s="190"/>
      <c r="FJ166" s="190"/>
      <c r="FK166" s="190"/>
      <c r="FL166" s="190"/>
      <c r="FM166" s="190"/>
      <c r="FN166" s="190"/>
      <c r="FO166" s="190"/>
      <c r="FP166" s="190"/>
      <c r="FQ166" s="190"/>
      <c r="FR166" s="190"/>
      <c r="FS166" s="190"/>
      <c r="FT166" s="190"/>
      <c r="FU166" s="190"/>
      <c r="FV166" s="190"/>
      <c r="FW166" s="190"/>
      <c r="FX166" s="190"/>
      <c r="FY166" s="190"/>
      <c r="FZ166" s="190"/>
      <c r="GA166" s="190"/>
      <c r="GB166" s="190"/>
      <c r="GC166" s="190"/>
      <c r="GD166" s="190"/>
      <c r="GE166" s="190"/>
      <c r="GF166" s="190"/>
      <c r="GG166" s="190"/>
      <c r="GH166" s="190"/>
      <c r="GI166" s="190"/>
      <c r="GJ166" s="190"/>
      <c r="GK166" s="190"/>
      <c r="GL166" s="190"/>
      <c r="GM166" s="190"/>
      <c r="GN166" s="190"/>
      <c r="GO166" s="190"/>
      <c r="GP166" s="190"/>
      <c r="GQ166" s="190"/>
      <c r="GR166" s="190"/>
      <c r="GS166" s="190"/>
      <c r="GT166" s="190"/>
      <c r="GU166" s="190"/>
      <c r="GV166" s="190"/>
      <c r="GW166" s="190"/>
      <c r="GX166" s="190"/>
      <c r="GY166" s="190"/>
      <c r="GZ166" s="190"/>
      <c r="HA166" s="190"/>
      <c r="HB166" s="190"/>
      <c r="HC166" s="190"/>
      <c r="HD166" s="190"/>
      <c r="HE166" s="190"/>
      <c r="HF166" s="190"/>
      <c r="HG166" s="190"/>
      <c r="HH166" s="190"/>
      <c r="HI166" s="190"/>
      <c r="HJ166" s="190"/>
      <c r="HK166" s="190"/>
      <c r="HL166" s="190"/>
      <c r="HM166" s="190"/>
      <c r="HN166" s="190"/>
      <c r="HO166" s="190"/>
      <c r="HP166" s="190"/>
      <c r="HQ166" s="190"/>
      <c r="HR166" s="190"/>
      <c r="HS166" s="190"/>
      <c r="HT166" s="190"/>
      <c r="HU166" s="190"/>
      <c r="HV166" s="190"/>
      <c r="HW166" s="190"/>
      <c r="HX166" s="190"/>
      <c r="HY166" s="190"/>
      <c r="HZ166" s="190"/>
      <c r="IA166" s="190"/>
      <c r="IB166" s="190"/>
    </row>
    <row r="167" spans="1:236" s="137" customFormat="1" ht="14.25">
      <c r="A167" s="190"/>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c r="BP167" s="190"/>
      <c r="BQ167" s="190"/>
      <c r="BR167" s="190"/>
      <c r="BS167" s="190"/>
      <c r="BT167" s="190"/>
      <c r="BU167" s="190"/>
      <c r="BV167" s="190"/>
      <c r="BW167" s="190"/>
      <c r="BX167" s="190"/>
      <c r="BY167" s="190"/>
      <c r="BZ167" s="190"/>
      <c r="CA167" s="190"/>
      <c r="CB167" s="190"/>
      <c r="CC167" s="190"/>
      <c r="CD167" s="190"/>
      <c r="CE167" s="190"/>
      <c r="CF167" s="190"/>
      <c r="CG167" s="190"/>
      <c r="CH167" s="190"/>
      <c r="CI167" s="190"/>
      <c r="CJ167" s="190"/>
      <c r="CK167" s="190"/>
      <c r="CL167" s="190"/>
      <c r="CM167" s="190"/>
      <c r="CN167" s="190"/>
      <c r="CO167" s="190"/>
      <c r="CP167" s="190"/>
      <c r="CQ167" s="190"/>
      <c r="CR167" s="190"/>
      <c r="CS167" s="190"/>
      <c r="CT167" s="190"/>
      <c r="CU167" s="190"/>
      <c r="CV167" s="190"/>
      <c r="CW167" s="190"/>
      <c r="CX167" s="190"/>
      <c r="CY167" s="190"/>
      <c r="CZ167" s="190"/>
      <c r="DA167" s="190"/>
      <c r="DB167" s="190"/>
      <c r="DC167" s="190"/>
      <c r="DD167" s="190"/>
      <c r="DE167" s="190"/>
      <c r="DF167" s="190"/>
      <c r="DG167" s="190"/>
      <c r="DH167" s="190"/>
      <c r="DI167" s="190"/>
      <c r="DJ167" s="190"/>
      <c r="DK167" s="190"/>
      <c r="DL167" s="190"/>
      <c r="DM167" s="190"/>
      <c r="DN167" s="190"/>
      <c r="DO167" s="190"/>
      <c r="DP167" s="190"/>
      <c r="DQ167" s="190"/>
      <c r="DR167" s="190"/>
      <c r="DS167" s="190"/>
      <c r="DT167" s="190"/>
      <c r="DU167" s="190"/>
      <c r="DV167" s="190"/>
      <c r="DW167" s="190"/>
      <c r="DX167" s="190"/>
      <c r="DY167" s="190"/>
      <c r="DZ167" s="190"/>
      <c r="EA167" s="190"/>
      <c r="EB167" s="190"/>
      <c r="EC167" s="190"/>
      <c r="ED167" s="190"/>
      <c r="EE167" s="190"/>
      <c r="EF167" s="190"/>
      <c r="EG167" s="190"/>
      <c r="EH167" s="190"/>
      <c r="EI167" s="190"/>
      <c r="EJ167" s="190"/>
      <c r="EK167" s="190"/>
      <c r="EL167" s="190"/>
      <c r="EM167" s="190"/>
      <c r="EN167" s="190"/>
      <c r="EO167" s="190"/>
      <c r="EP167" s="190"/>
      <c r="EQ167" s="190"/>
      <c r="ER167" s="190"/>
      <c r="ES167" s="190"/>
      <c r="ET167" s="190"/>
      <c r="EU167" s="190"/>
      <c r="EV167" s="190"/>
      <c r="EW167" s="190"/>
      <c r="EX167" s="190"/>
      <c r="EY167" s="190"/>
      <c r="EZ167" s="190"/>
      <c r="FA167" s="190"/>
      <c r="FB167" s="190"/>
      <c r="FC167" s="190"/>
      <c r="FD167" s="190"/>
      <c r="FE167" s="190"/>
      <c r="FF167" s="190"/>
      <c r="FG167" s="190"/>
      <c r="FH167" s="190"/>
      <c r="FI167" s="190"/>
      <c r="FJ167" s="190"/>
      <c r="FK167" s="190"/>
      <c r="FL167" s="190"/>
      <c r="FM167" s="190"/>
      <c r="FN167" s="190"/>
      <c r="FO167" s="190"/>
      <c r="FP167" s="190"/>
      <c r="FQ167" s="190"/>
      <c r="FR167" s="190"/>
      <c r="FS167" s="190"/>
      <c r="FT167" s="190"/>
      <c r="FU167" s="190"/>
      <c r="FV167" s="190"/>
      <c r="FW167" s="190"/>
      <c r="FX167" s="190"/>
      <c r="FY167" s="190"/>
      <c r="FZ167" s="190"/>
      <c r="GA167" s="190"/>
      <c r="GB167" s="190"/>
      <c r="GC167" s="190"/>
      <c r="GD167" s="190"/>
      <c r="GE167" s="190"/>
      <c r="GF167" s="190"/>
      <c r="GG167" s="190"/>
      <c r="GH167" s="190"/>
      <c r="GI167" s="190"/>
      <c r="GJ167" s="190"/>
      <c r="GK167" s="190"/>
      <c r="GL167" s="190"/>
      <c r="GM167" s="190"/>
      <c r="GN167" s="190"/>
      <c r="GO167" s="190"/>
      <c r="GP167" s="190"/>
      <c r="GQ167" s="190"/>
      <c r="GR167" s="190"/>
      <c r="GS167" s="190"/>
      <c r="GT167" s="190"/>
      <c r="GU167" s="190"/>
      <c r="GV167" s="190"/>
      <c r="GW167" s="190"/>
      <c r="GX167" s="190"/>
      <c r="GY167" s="190"/>
      <c r="GZ167" s="190"/>
      <c r="HA167" s="190"/>
      <c r="HB167" s="190"/>
      <c r="HC167" s="190"/>
      <c r="HD167" s="190"/>
      <c r="HE167" s="190"/>
      <c r="HF167" s="190"/>
      <c r="HG167" s="190"/>
      <c r="HH167" s="190"/>
      <c r="HI167" s="190"/>
      <c r="HJ167" s="190"/>
      <c r="HK167" s="190"/>
      <c r="HL167" s="190"/>
      <c r="HM167" s="190"/>
      <c r="HN167" s="190"/>
      <c r="HO167" s="190"/>
      <c r="HP167" s="190"/>
      <c r="HQ167" s="190"/>
      <c r="HR167" s="190"/>
      <c r="HS167" s="190"/>
      <c r="HT167" s="190"/>
      <c r="HU167" s="190"/>
      <c r="HV167" s="190"/>
      <c r="HW167" s="190"/>
      <c r="HX167" s="190"/>
      <c r="HY167" s="190"/>
      <c r="HZ167" s="190"/>
      <c r="IA167" s="190"/>
      <c r="IB167" s="190"/>
    </row>
    <row r="168" spans="1:236" s="137" customFormat="1" ht="14.25">
      <c r="A168" s="190"/>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c r="CG168" s="190"/>
      <c r="CH168" s="190"/>
      <c r="CI168" s="190"/>
      <c r="CJ168" s="190"/>
      <c r="CK168" s="190"/>
      <c r="CL168" s="190"/>
      <c r="CM168" s="190"/>
      <c r="CN168" s="190"/>
      <c r="CO168" s="190"/>
      <c r="CP168" s="190"/>
      <c r="CQ168" s="190"/>
      <c r="CR168" s="190"/>
      <c r="CS168" s="190"/>
      <c r="CT168" s="190"/>
      <c r="CU168" s="190"/>
      <c r="CV168" s="190"/>
      <c r="CW168" s="190"/>
      <c r="CX168" s="190"/>
      <c r="CY168" s="190"/>
      <c r="CZ168" s="190"/>
      <c r="DA168" s="190"/>
      <c r="DB168" s="190"/>
      <c r="DC168" s="190"/>
      <c r="DD168" s="190"/>
      <c r="DE168" s="190"/>
      <c r="DF168" s="190"/>
      <c r="DG168" s="190"/>
      <c r="DH168" s="190"/>
      <c r="DI168" s="190"/>
      <c r="DJ168" s="190"/>
      <c r="DK168" s="190"/>
      <c r="DL168" s="190"/>
      <c r="DM168" s="190"/>
      <c r="DN168" s="190"/>
      <c r="DO168" s="190"/>
      <c r="DP168" s="190"/>
      <c r="DQ168" s="190"/>
      <c r="DR168" s="190"/>
      <c r="DS168" s="190"/>
      <c r="DT168" s="190"/>
      <c r="DU168" s="190"/>
      <c r="DV168" s="190"/>
      <c r="DW168" s="190"/>
      <c r="DX168" s="190"/>
      <c r="DY168" s="190"/>
      <c r="DZ168" s="190"/>
      <c r="EA168" s="190"/>
      <c r="EB168" s="190"/>
      <c r="EC168" s="190"/>
      <c r="ED168" s="190"/>
      <c r="EE168" s="190"/>
      <c r="EF168" s="190"/>
      <c r="EG168" s="190"/>
      <c r="EH168" s="190"/>
      <c r="EI168" s="190"/>
      <c r="EJ168" s="190"/>
      <c r="EK168" s="190"/>
      <c r="EL168" s="190"/>
      <c r="EM168" s="190"/>
      <c r="EN168" s="190"/>
      <c r="EO168" s="190"/>
      <c r="EP168" s="190"/>
      <c r="EQ168" s="190"/>
      <c r="ER168" s="190"/>
      <c r="ES168" s="190"/>
      <c r="ET168" s="190"/>
      <c r="EU168" s="190"/>
      <c r="EV168" s="190"/>
      <c r="EW168" s="190"/>
      <c r="EX168" s="190"/>
      <c r="EY168" s="190"/>
      <c r="EZ168" s="190"/>
      <c r="FA168" s="190"/>
      <c r="FB168" s="190"/>
      <c r="FC168" s="190"/>
      <c r="FD168" s="190"/>
      <c r="FE168" s="190"/>
      <c r="FF168" s="190"/>
      <c r="FG168" s="190"/>
      <c r="FH168" s="190"/>
      <c r="FI168" s="190"/>
      <c r="FJ168" s="190"/>
      <c r="FK168" s="190"/>
      <c r="FL168" s="190"/>
      <c r="FM168" s="190"/>
      <c r="FN168" s="190"/>
      <c r="FO168" s="190"/>
      <c r="FP168" s="190"/>
      <c r="FQ168" s="190"/>
      <c r="FR168" s="190"/>
      <c r="FS168" s="190"/>
      <c r="FT168" s="190"/>
      <c r="FU168" s="190"/>
      <c r="FV168" s="190"/>
      <c r="FW168" s="190"/>
      <c r="FX168" s="190"/>
      <c r="FY168" s="190"/>
      <c r="FZ168" s="190"/>
      <c r="GA168" s="190"/>
      <c r="GB168" s="190"/>
      <c r="GC168" s="190"/>
      <c r="GD168" s="190"/>
      <c r="GE168" s="190"/>
      <c r="GF168" s="190"/>
      <c r="GG168" s="190"/>
      <c r="GH168" s="190"/>
      <c r="GI168" s="190"/>
      <c r="GJ168" s="190"/>
      <c r="GK168" s="190"/>
      <c r="GL168" s="190"/>
      <c r="GM168" s="190"/>
      <c r="GN168" s="190"/>
      <c r="GO168" s="190"/>
      <c r="GP168" s="190"/>
      <c r="GQ168" s="190"/>
      <c r="GR168" s="190"/>
      <c r="GS168" s="190"/>
      <c r="GT168" s="190"/>
      <c r="GU168" s="190"/>
      <c r="GV168" s="190"/>
      <c r="GW168" s="190"/>
      <c r="GX168" s="190"/>
      <c r="GY168" s="190"/>
      <c r="GZ168" s="190"/>
      <c r="HA168" s="190"/>
      <c r="HB168" s="190"/>
      <c r="HC168" s="190"/>
      <c r="HD168" s="190"/>
      <c r="HE168" s="190"/>
      <c r="HF168" s="190"/>
      <c r="HG168" s="190"/>
      <c r="HH168" s="190"/>
      <c r="HI168" s="190"/>
      <c r="HJ168" s="190"/>
      <c r="HK168" s="190"/>
      <c r="HL168" s="190"/>
      <c r="HM168" s="190"/>
      <c r="HN168" s="190"/>
      <c r="HO168" s="190"/>
      <c r="HP168" s="190"/>
      <c r="HQ168" s="190"/>
      <c r="HR168" s="190"/>
      <c r="HS168" s="190"/>
      <c r="HT168" s="190"/>
      <c r="HU168" s="190"/>
      <c r="HV168" s="190"/>
      <c r="HW168" s="190"/>
      <c r="HX168" s="190"/>
      <c r="HY168" s="190"/>
      <c r="HZ168" s="190"/>
      <c r="IA168" s="190"/>
      <c r="IB168" s="190"/>
    </row>
    <row r="169" spans="1:236" s="137" customFormat="1" ht="14.25">
      <c r="A169" s="190"/>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0"/>
      <c r="BW169" s="190"/>
      <c r="BX169" s="190"/>
      <c r="BY169" s="190"/>
      <c r="BZ169" s="190"/>
      <c r="CA169" s="190"/>
      <c r="CB169" s="190"/>
      <c r="CC169" s="190"/>
      <c r="CD169" s="190"/>
      <c r="CE169" s="190"/>
      <c r="CF169" s="190"/>
      <c r="CG169" s="190"/>
      <c r="CH169" s="190"/>
      <c r="CI169" s="190"/>
      <c r="CJ169" s="190"/>
      <c r="CK169" s="190"/>
      <c r="CL169" s="190"/>
      <c r="CM169" s="190"/>
      <c r="CN169" s="190"/>
      <c r="CO169" s="190"/>
      <c r="CP169" s="190"/>
      <c r="CQ169" s="190"/>
      <c r="CR169" s="190"/>
      <c r="CS169" s="190"/>
      <c r="CT169" s="190"/>
      <c r="CU169" s="190"/>
      <c r="CV169" s="190"/>
      <c r="CW169" s="190"/>
      <c r="CX169" s="190"/>
      <c r="CY169" s="190"/>
      <c r="CZ169" s="190"/>
      <c r="DA169" s="190"/>
      <c r="DB169" s="190"/>
      <c r="DC169" s="190"/>
      <c r="DD169" s="190"/>
      <c r="DE169" s="190"/>
      <c r="DF169" s="190"/>
      <c r="DG169" s="190"/>
      <c r="DH169" s="190"/>
      <c r="DI169" s="190"/>
      <c r="DJ169" s="190"/>
      <c r="DK169" s="190"/>
      <c r="DL169" s="190"/>
      <c r="DM169" s="190"/>
      <c r="DN169" s="190"/>
      <c r="DO169" s="190"/>
      <c r="DP169" s="190"/>
      <c r="DQ169" s="190"/>
      <c r="DR169" s="190"/>
      <c r="DS169" s="190"/>
      <c r="DT169" s="190"/>
      <c r="DU169" s="190"/>
      <c r="DV169" s="190"/>
      <c r="DW169" s="190"/>
      <c r="DX169" s="190"/>
      <c r="DY169" s="190"/>
      <c r="DZ169" s="190"/>
      <c r="EA169" s="190"/>
      <c r="EB169" s="190"/>
      <c r="EC169" s="190"/>
      <c r="ED169" s="190"/>
      <c r="EE169" s="190"/>
      <c r="EF169" s="190"/>
      <c r="EG169" s="190"/>
      <c r="EH169" s="190"/>
      <c r="EI169" s="190"/>
      <c r="EJ169" s="190"/>
      <c r="EK169" s="190"/>
      <c r="EL169" s="190"/>
      <c r="EM169" s="190"/>
      <c r="EN169" s="190"/>
      <c r="EO169" s="190"/>
      <c r="EP169" s="190"/>
      <c r="EQ169" s="190"/>
      <c r="ER169" s="190"/>
      <c r="ES169" s="190"/>
      <c r="ET169" s="190"/>
      <c r="EU169" s="190"/>
      <c r="EV169" s="190"/>
      <c r="EW169" s="190"/>
      <c r="EX169" s="190"/>
      <c r="EY169" s="190"/>
      <c r="EZ169" s="190"/>
      <c r="FA169" s="190"/>
      <c r="FB169" s="190"/>
      <c r="FC169" s="190"/>
      <c r="FD169" s="190"/>
      <c r="FE169" s="190"/>
      <c r="FF169" s="190"/>
      <c r="FG169" s="190"/>
      <c r="FH169" s="190"/>
      <c r="FI169" s="190"/>
      <c r="FJ169" s="190"/>
      <c r="FK169" s="190"/>
      <c r="FL169" s="190"/>
      <c r="FM169" s="190"/>
      <c r="FN169" s="190"/>
      <c r="FO169" s="190"/>
      <c r="FP169" s="190"/>
      <c r="FQ169" s="190"/>
      <c r="FR169" s="190"/>
      <c r="FS169" s="190"/>
      <c r="FT169" s="190"/>
      <c r="FU169" s="190"/>
      <c r="FV169" s="190"/>
      <c r="FW169" s="190"/>
      <c r="FX169" s="190"/>
      <c r="FY169" s="190"/>
      <c r="FZ169" s="190"/>
      <c r="GA169" s="190"/>
      <c r="GB169" s="190"/>
      <c r="GC169" s="190"/>
      <c r="GD169" s="190"/>
      <c r="GE169" s="190"/>
      <c r="GF169" s="190"/>
      <c r="GG169" s="190"/>
      <c r="GH169" s="190"/>
      <c r="GI169" s="190"/>
      <c r="GJ169" s="190"/>
      <c r="GK169" s="190"/>
      <c r="GL169" s="190"/>
      <c r="GM169" s="190"/>
      <c r="GN169" s="190"/>
      <c r="GO169" s="190"/>
      <c r="GP169" s="190"/>
      <c r="GQ169" s="190"/>
      <c r="GR169" s="190"/>
      <c r="GS169" s="190"/>
      <c r="GT169" s="190"/>
      <c r="GU169" s="190"/>
      <c r="GV169" s="190"/>
      <c r="GW169" s="190"/>
      <c r="GX169" s="190"/>
      <c r="GY169" s="190"/>
      <c r="GZ169" s="190"/>
      <c r="HA169" s="190"/>
      <c r="HB169" s="190"/>
      <c r="HC169" s="190"/>
      <c r="HD169" s="190"/>
      <c r="HE169" s="190"/>
      <c r="HF169" s="190"/>
      <c r="HG169" s="190"/>
      <c r="HH169" s="190"/>
      <c r="HI169" s="190"/>
      <c r="HJ169" s="190"/>
      <c r="HK169" s="190"/>
      <c r="HL169" s="190"/>
      <c r="HM169" s="190"/>
      <c r="HN169" s="190"/>
      <c r="HO169" s="190"/>
      <c r="HP169" s="190"/>
      <c r="HQ169" s="190"/>
      <c r="HR169" s="190"/>
      <c r="HS169" s="190"/>
      <c r="HT169" s="190"/>
      <c r="HU169" s="190"/>
      <c r="HV169" s="190"/>
      <c r="HW169" s="190"/>
      <c r="HX169" s="190"/>
      <c r="HY169" s="190"/>
      <c r="HZ169" s="190"/>
      <c r="IA169" s="190"/>
      <c r="IB169" s="190"/>
    </row>
    <row r="170" spans="1:236" s="137" customFormat="1" ht="14.25">
      <c r="A170" s="190"/>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0"/>
      <c r="CS170" s="190"/>
      <c r="CT170" s="190"/>
      <c r="CU170" s="190"/>
      <c r="CV170" s="190"/>
      <c r="CW170" s="190"/>
      <c r="CX170" s="190"/>
      <c r="CY170" s="190"/>
      <c r="CZ170" s="190"/>
      <c r="DA170" s="190"/>
      <c r="DB170" s="190"/>
      <c r="DC170" s="190"/>
      <c r="DD170" s="190"/>
      <c r="DE170" s="190"/>
      <c r="DF170" s="190"/>
      <c r="DG170" s="190"/>
      <c r="DH170" s="190"/>
      <c r="DI170" s="190"/>
      <c r="DJ170" s="190"/>
      <c r="DK170" s="190"/>
      <c r="DL170" s="190"/>
      <c r="DM170" s="190"/>
      <c r="DN170" s="190"/>
      <c r="DO170" s="190"/>
      <c r="DP170" s="190"/>
      <c r="DQ170" s="190"/>
      <c r="DR170" s="190"/>
      <c r="DS170" s="190"/>
      <c r="DT170" s="190"/>
      <c r="DU170" s="190"/>
      <c r="DV170" s="190"/>
      <c r="DW170" s="190"/>
      <c r="DX170" s="190"/>
      <c r="DY170" s="190"/>
      <c r="DZ170" s="190"/>
      <c r="EA170" s="190"/>
      <c r="EB170" s="190"/>
      <c r="EC170" s="190"/>
      <c r="ED170" s="190"/>
      <c r="EE170" s="190"/>
      <c r="EF170" s="190"/>
      <c r="EG170" s="190"/>
      <c r="EH170" s="190"/>
      <c r="EI170" s="190"/>
      <c r="EJ170" s="190"/>
      <c r="EK170" s="190"/>
      <c r="EL170" s="190"/>
      <c r="EM170" s="190"/>
      <c r="EN170" s="190"/>
      <c r="EO170" s="190"/>
      <c r="EP170" s="190"/>
      <c r="EQ170" s="190"/>
      <c r="ER170" s="190"/>
      <c r="ES170" s="190"/>
      <c r="ET170" s="190"/>
      <c r="EU170" s="190"/>
      <c r="EV170" s="190"/>
      <c r="EW170" s="190"/>
      <c r="EX170" s="190"/>
      <c r="EY170" s="190"/>
      <c r="EZ170" s="190"/>
      <c r="FA170" s="190"/>
      <c r="FB170" s="190"/>
      <c r="FC170" s="190"/>
      <c r="FD170" s="190"/>
      <c r="FE170" s="190"/>
      <c r="FF170" s="190"/>
      <c r="FG170" s="190"/>
      <c r="FH170" s="190"/>
      <c r="FI170" s="190"/>
      <c r="FJ170" s="190"/>
      <c r="FK170" s="190"/>
      <c r="FL170" s="190"/>
      <c r="FM170" s="190"/>
      <c r="FN170" s="190"/>
      <c r="FO170" s="190"/>
      <c r="FP170" s="190"/>
      <c r="FQ170" s="190"/>
      <c r="FR170" s="190"/>
      <c r="FS170" s="190"/>
      <c r="FT170" s="190"/>
      <c r="FU170" s="190"/>
      <c r="FV170" s="190"/>
      <c r="FW170" s="190"/>
      <c r="FX170" s="190"/>
      <c r="FY170" s="190"/>
      <c r="FZ170" s="190"/>
      <c r="GA170" s="190"/>
      <c r="GB170" s="190"/>
      <c r="GC170" s="190"/>
      <c r="GD170" s="190"/>
      <c r="GE170" s="190"/>
      <c r="GF170" s="190"/>
      <c r="GG170" s="190"/>
      <c r="GH170" s="190"/>
      <c r="GI170" s="190"/>
      <c r="GJ170" s="190"/>
      <c r="GK170" s="190"/>
      <c r="GL170" s="190"/>
      <c r="GM170" s="190"/>
      <c r="GN170" s="190"/>
      <c r="GO170" s="190"/>
      <c r="GP170" s="190"/>
      <c r="GQ170" s="190"/>
      <c r="GR170" s="190"/>
      <c r="GS170" s="190"/>
      <c r="GT170" s="190"/>
      <c r="GU170" s="190"/>
      <c r="GV170" s="190"/>
      <c r="GW170" s="190"/>
      <c r="GX170" s="190"/>
      <c r="GY170" s="190"/>
      <c r="GZ170" s="190"/>
      <c r="HA170" s="190"/>
      <c r="HB170" s="190"/>
      <c r="HC170" s="190"/>
      <c r="HD170" s="190"/>
      <c r="HE170" s="190"/>
      <c r="HF170" s="190"/>
      <c r="HG170" s="190"/>
      <c r="HH170" s="190"/>
      <c r="HI170" s="190"/>
      <c r="HJ170" s="190"/>
      <c r="HK170" s="190"/>
      <c r="HL170" s="190"/>
      <c r="HM170" s="190"/>
      <c r="HN170" s="190"/>
      <c r="HO170" s="190"/>
      <c r="HP170" s="190"/>
      <c r="HQ170" s="190"/>
      <c r="HR170" s="190"/>
      <c r="HS170" s="190"/>
      <c r="HT170" s="190"/>
      <c r="HU170" s="190"/>
      <c r="HV170" s="190"/>
      <c r="HW170" s="190"/>
      <c r="HX170" s="190"/>
      <c r="HY170" s="190"/>
      <c r="HZ170" s="190"/>
      <c r="IA170" s="190"/>
      <c r="IB170" s="190"/>
    </row>
    <row r="171" spans="1:236" s="137" customFormat="1" ht="14.25">
      <c r="A171" s="190"/>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c r="CG171" s="190"/>
      <c r="CH171" s="190"/>
      <c r="CI171" s="190"/>
      <c r="CJ171" s="190"/>
      <c r="CK171" s="190"/>
      <c r="CL171" s="190"/>
      <c r="CM171" s="190"/>
      <c r="CN171" s="190"/>
      <c r="CO171" s="190"/>
      <c r="CP171" s="190"/>
      <c r="CQ171" s="190"/>
      <c r="CR171" s="190"/>
      <c r="CS171" s="190"/>
      <c r="CT171" s="190"/>
      <c r="CU171" s="190"/>
      <c r="CV171" s="190"/>
      <c r="CW171" s="190"/>
      <c r="CX171" s="190"/>
      <c r="CY171" s="190"/>
      <c r="CZ171" s="190"/>
      <c r="DA171" s="190"/>
      <c r="DB171" s="190"/>
      <c r="DC171" s="190"/>
      <c r="DD171" s="190"/>
      <c r="DE171" s="190"/>
      <c r="DF171" s="190"/>
      <c r="DG171" s="190"/>
      <c r="DH171" s="190"/>
      <c r="DI171" s="190"/>
      <c r="DJ171" s="190"/>
      <c r="DK171" s="190"/>
      <c r="DL171" s="190"/>
      <c r="DM171" s="190"/>
      <c r="DN171" s="190"/>
      <c r="DO171" s="190"/>
      <c r="DP171" s="190"/>
      <c r="DQ171" s="190"/>
      <c r="DR171" s="190"/>
      <c r="DS171" s="190"/>
      <c r="DT171" s="190"/>
      <c r="DU171" s="190"/>
      <c r="DV171" s="190"/>
      <c r="DW171" s="190"/>
      <c r="DX171" s="190"/>
      <c r="DY171" s="190"/>
      <c r="DZ171" s="190"/>
      <c r="EA171" s="190"/>
      <c r="EB171" s="190"/>
      <c r="EC171" s="190"/>
      <c r="ED171" s="190"/>
      <c r="EE171" s="190"/>
      <c r="EF171" s="190"/>
      <c r="EG171" s="190"/>
      <c r="EH171" s="190"/>
      <c r="EI171" s="190"/>
      <c r="EJ171" s="190"/>
      <c r="EK171" s="190"/>
      <c r="EL171" s="190"/>
      <c r="EM171" s="190"/>
      <c r="EN171" s="190"/>
      <c r="EO171" s="190"/>
      <c r="EP171" s="190"/>
      <c r="EQ171" s="190"/>
      <c r="ER171" s="190"/>
      <c r="ES171" s="190"/>
      <c r="ET171" s="190"/>
      <c r="EU171" s="190"/>
      <c r="EV171" s="190"/>
      <c r="EW171" s="190"/>
      <c r="EX171" s="190"/>
      <c r="EY171" s="190"/>
      <c r="EZ171" s="190"/>
      <c r="FA171" s="190"/>
      <c r="FB171" s="190"/>
      <c r="FC171" s="190"/>
      <c r="FD171" s="190"/>
      <c r="FE171" s="190"/>
      <c r="FF171" s="190"/>
      <c r="FG171" s="190"/>
      <c r="FH171" s="190"/>
      <c r="FI171" s="190"/>
      <c r="FJ171" s="190"/>
      <c r="FK171" s="190"/>
      <c r="FL171" s="190"/>
      <c r="FM171" s="190"/>
      <c r="FN171" s="190"/>
      <c r="FO171" s="190"/>
      <c r="FP171" s="190"/>
      <c r="FQ171" s="190"/>
      <c r="FR171" s="190"/>
      <c r="FS171" s="190"/>
      <c r="FT171" s="190"/>
      <c r="FU171" s="190"/>
      <c r="FV171" s="190"/>
      <c r="FW171" s="190"/>
      <c r="FX171" s="190"/>
      <c r="FY171" s="190"/>
      <c r="FZ171" s="190"/>
      <c r="GA171" s="190"/>
      <c r="GB171" s="190"/>
      <c r="GC171" s="190"/>
      <c r="GD171" s="190"/>
      <c r="GE171" s="190"/>
      <c r="GF171" s="190"/>
      <c r="GG171" s="190"/>
      <c r="GH171" s="190"/>
      <c r="GI171" s="190"/>
      <c r="GJ171" s="190"/>
      <c r="GK171" s="190"/>
      <c r="GL171" s="190"/>
      <c r="GM171" s="190"/>
      <c r="GN171" s="190"/>
      <c r="GO171" s="190"/>
      <c r="GP171" s="190"/>
      <c r="GQ171" s="190"/>
      <c r="GR171" s="190"/>
      <c r="GS171" s="190"/>
      <c r="GT171" s="190"/>
      <c r="GU171" s="190"/>
      <c r="GV171" s="190"/>
      <c r="GW171" s="190"/>
      <c r="GX171" s="190"/>
      <c r="GY171" s="190"/>
      <c r="GZ171" s="190"/>
      <c r="HA171" s="190"/>
      <c r="HB171" s="190"/>
      <c r="HC171" s="190"/>
      <c r="HD171" s="190"/>
      <c r="HE171" s="190"/>
      <c r="HF171" s="190"/>
      <c r="HG171" s="190"/>
      <c r="HH171" s="190"/>
      <c r="HI171" s="190"/>
      <c r="HJ171" s="190"/>
      <c r="HK171" s="190"/>
      <c r="HL171" s="190"/>
      <c r="HM171" s="190"/>
      <c r="HN171" s="190"/>
      <c r="HO171" s="190"/>
      <c r="HP171" s="190"/>
      <c r="HQ171" s="190"/>
      <c r="HR171" s="190"/>
      <c r="HS171" s="190"/>
      <c r="HT171" s="190"/>
      <c r="HU171" s="190"/>
      <c r="HV171" s="190"/>
      <c r="HW171" s="190"/>
      <c r="HX171" s="190"/>
      <c r="HY171" s="190"/>
      <c r="HZ171" s="190"/>
      <c r="IA171" s="190"/>
      <c r="IB171" s="190"/>
    </row>
    <row r="172" spans="1:236" s="137" customFormat="1" ht="14.25">
      <c r="A172" s="190"/>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c r="BP172" s="190"/>
      <c r="BQ172" s="190"/>
      <c r="BR172" s="190"/>
      <c r="BS172" s="190"/>
      <c r="BT172" s="190"/>
      <c r="BU172" s="190"/>
      <c r="BV172" s="190"/>
      <c r="BW172" s="190"/>
      <c r="BX172" s="190"/>
      <c r="BY172" s="190"/>
      <c r="BZ172" s="190"/>
      <c r="CA172" s="190"/>
      <c r="CB172" s="190"/>
      <c r="CC172" s="190"/>
      <c r="CD172" s="190"/>
      <c r="CE172" s="190"/>
      <c r="CF172" s="190"/>
      <c r="CG172" s="190"/>
      <c r="CH172" s="190"/>
      <c r="CI172" s="190"/>
      <c r="CJ172" s="190"/>
      <c r="CK172" s="190"/>
      <c r="CL172" s="190"/>
      <c r="CM172" s="190"/>
      <c r="CN172" s="190"/>
      <c r="CO172" s="190"/>
      <c r="CP172" s="190"/>
      <c r="CQ172" s="190"/>
      <c r="CR172" s="190"/>
      <c r="CS172" s="190"/>
      <c r="CT172" s="190"/>
      <c r="CU172" s="190"/>
      <c r="CV172" s="190"/>
      <c r="CW172" s="190"/>
      <c r="CX172" s="190"/>
      <c r="CY172" s="190"/>
      <c r="CZ172" s="190"/>
      <c r="DA172" s="190"/>
      <c r="DB172" s="190"/>
      <c r="DC172" s="190"/>
      <c r="DD172" s="190"/>
      <c r="DE172" s="190"/>
      <c r="DF172" s="190"/>
      <c r="DG172" s="190"/>
      <c r="DH172" s="190"/>
      <c r="DI172" s="190"/>
      <c r="DJ172" s="190"/>
      <c r="DK172" s="190"/>
      <c r="DL172" s="190"/>
      <c r="DM172" s="190"/>
      <c r="DN172" s="190"/>
      <c r="DO172" s="190"/>
      <c r="DP172" s="190"/>
      <c r="DQ172" s="190"/>
      <c r="DR172" s="190"/>
      <c r="DS172" s="190"/>
      <c r="DT172" s="190"/>
      <c r="DU172" s="190"/>
      <c r="DV172" s="190"/>
      <c r="DW172" s="190"/>
      <c r="DX172" s="190"/>
      <c r="DY172" s="190"/>
      <c r="DZ172" s="190"/>
      <c r="EA172" s="190"/>
      <c r="EB172" s="190"/>
      <c r="EC172" s="190"/>
      <c r="ED172" s="190"/>
      <c r="EE172" s="190"/>
      <c r="EF172" s="190"/>
      <c r="EG172" s="190"/>
      <c r="EH172" s="190"/>
      <c r="EI172" s="190"/>
      <c r="EJ172" s="190"/>
      <c r="EK172" s="190"/>
      <c r="EL172" s="190"/>
      <c r="EM172" s="190"/>
      <c r="EN172" s="190"/>
      <c r="EO172" s="190"/>
      <c r="EP172" s="190"/>
      <c r="EQ172" s="190"/>
      <c r="ER172" s="190"/>
      <c r="ES172" s="190"/>
      <c r="ET172" s="190"/>
      <c r="EU172" s="190"/>
      <c r="EV172" s="190"/>
      <c r="EW172" s="190"/>
      <c r="EX172" s="190"/>
      <c r="EY172" s="190"/>
      <c r="EZ172" s="190"/>
      <c r="FA172" s="190"/>
      <c r="FB172" s="190"/>
      <c r="FC172" s="190"/>
      <c r="FD172" s="190"/>
      <c r="FE172" s="190"/>
      <c r="FF172" s="190"/>
      <c r="FG172" s="190"/>
      <c r="FH172" s="190"/>
      <c r="FI172" s="190"/>
      <c r="FJ172" s="190"/>
      <c r="FK172" s="190"/>
      <c r="FL172" s="190"/>
      <c r="FM172" s="190"/>
      <c r="FN172" s="190"/>
      <c r="FO172" s="190"/>
      <c r="FP172" s="190"/>
      <c r="FQ172" s="190"/>
      <c r="FR172" s="190"/>
      <c r="FS172" s="190"/>
      <c r="FT172" s="190"/>
      <c r="FU172" s="190"/>
      <c r="FV172" s="190"/>
      <c r="FW172" s="190"/>
      <c r="FX172" s="190"/>
      <c r="FY172" s="190"/>
      <c r="FZ172" s="190"/>
      <c r="GA172" s="190"/>
      <c r="GB172" s="190"/>
      <c r="GC172" s="190"/>
      <c r="GD172" s="190"/>
      <c r="GE172" s="190"/>
      <c r="GF172" s="190"/>
      <c r="GG172" s="190"/>
      <c r="GH172" s="190"/>
      <c r="GI172" s="190"/>
      <c r="GJ172" s="190"/>
      <c r="GK172" s="190"/>
      <c r="GL172" s="190"/>
      <c r="GM172" s="190"/>
      <c r="GN172" s="190"/>
      <c r="GO172" s="190"/>
      <c r="GP172" s="190"/>
      <c r="GQ172" s="190"/>
      <c r="GR172" s="190"/>
      <c r="GS172" s="190"/>
      <c r="GT172" s="190"/>
      <c r="GU172" s="190"/>
      <c r="GV172" s="190"/>
      <c r="GW172" s="190"/>
      <c r="GX172" s="190"/>
      <c r="GY172" s="190"/>
      <c r="GZ172" s="190"/>
      <c r="HA172" s="190"/>
      <c r="HB172" s="190"/>
      <c r="HC172" s="190"/>
      <c r="HD172" s="190"/>
      <c r="HE172" s="190"/>
      <c r="HF172" s="190"/>
      <c r="HG172" s="190"/>
      <c r="HH172" s="190"/>
      <c r="HI172" s="190"/>
      <c r="HJ172" s="190"/>
      <c r="HK172" s="190"/>
      <c r="HL172" s="190"/>
      <c r="HM172" s="190"/>
      <c r="HN172" s="190"/>
      <c r="HO172" s="190"/>
      <c r="HP172" s="190"/>
      <c r="HQ172" s="190"/>
      <c r="HR172" s="190"/>
      <c r="HS172" s="190"/>
      <c r="HT172" s="190"/>
      <c r="HU172" s="190"/>
      <c r="HV172" s="190"/>
      <c r="HW172" s="190"/>
      <c r="HX172" s="190"/>
      <c r="HY172" s="190"/>
      <c r="HZ172" s="190"/>
      <c r="IA172" s="190"/>
      <c r="IB172" s="190"/>
    </row>
    <row r="173" spans="1:236" s="137" customFormat="1" ht="14.25">
      <c r="A173" s="190"/>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c r="BP173" s="190"/>
      <c r="BQ173" s="190"/>
      <c r="BR173" s="190"/>
      <c r="BS173" s="190"/>
      <c r="BT173" s="190"/>
      <c r="BU173" s="190"/>
      <c r="BV173" s="190"/>
      <c r="BW173" s="190"/>
      <c r="BX173" s="190"/>
      <c r="BY173" s="190"/>
      <c r="BZ173" s="190"/>
      <c r="CA173" s="190"/>
      <c r="CB173" s="190"/>
      <c r="CC173" s="190"/>
      <c r="CD173" s="190"/>
      <c r="CE173" s="190"/>
      <c r="CF173" s="190"/>
      <c r="CG173" s="190"/>
      <c r="CH173" s="190"/>
      <c r="CI173" s="190"/>
      <c r="CJ173" s="190"/>
      <c r="CK173" s="190"/>
      <c r="CL173" s="190"/>
      <c r="CM173" s="190"/>
      <c r="CN173" s="190"/>
      <c r="CO173" s="190"/>
      <c r="CP173" s="190"/>
      <c r="CQ173" s="190"/>
      <c r="CR173" s="190"/>
      <c r="CS173" s="190"/>
      <c r="CT173" s="190"/>
      <c r="CU173" s="190"/>
      <c r="CV173" s="190"/>
      <c r="CW173" s="190"/>
      <c r="CX173" s="190"/>
      <c r="CY173" s="190"/>
      <c r="CZ173" s="190"/>
      <c r="DA173" s="190"/>
      <c r="DB173" s="190"/>
      <c r="DC173" s="190"/>
      <c r="DD173" s="190"/>
      <c r="DE173" s="190"/>
      <c r="DF173" s="190"/>
      <c r="DG173" s="190"/>
      <c r="DH173" s="190"/>
      <c r="DI173" s="190"/>
      <c r="DJ173" s="190"/>
      <c r="DK173" s="190"/>
      <c r="DL173" s="190"/>
      <c r="DM173" s="190"/>
      <c r="DN173" s="190"/>
      <c r="DO173" s="190"/>
      <c r="DP173" s="190"/>
      <c r="DQ173" s="190"/>
      <c r="DR173" s="190"/>
      <c r="DS173" s="190"/>
      <c r="DT173" s="190"/>
      <c r="DU173" s="190"/>
      <c r="DV173" s="190"/>
      <c r="DW173" s="190"/>
      <c r="DX173" s="190"/>
      <c r="DY173" s="190"/>
      <c r="DZ173" s="190"/>
      <c r="EA173" s="190"/>
      <c r="EB173" s="190"/>
      <c r="EC173" s="190"/>
      <c r="ED173" s="190"/>
      <c r="EE173" s="190"/>
      <c r="EF173" s="190"/>
      <c r="EG173" s="190"/>
      <c r="EH173" s="190"/>
      <c r="EI173" s="190"/>
      <c r="EJ173" s="190"/>
      <c r="EK173" s="190"/>
      <c r="EL173" s="190"/>
      <c r="EM173" s="190"/>
      <c r="EN173" s="190"/>
      <c r="EO173" s="190"/>
      <c r="EP173" s="190"/>
      <c r="EQ173" s="190"/>
      <c r="ER173" s="190"/>
      <c r="ES173" s="190"/>
      <c r="ET173" s="190"/>
      <c r="EU173" s="190"/>
      <c r="EV173" s="190"/>
      <c r="EW173" s="190"/>
      <c r="EX173" s="190"/>
      <c r="EY173" s="190"/>
      <c r="EZ173" s="190"/>
      <c r="FA173" s="190"/>
      <c r="FB173" s="190"/>
      <c r="FC173" s="190"/>
      <c r="FD173" s="190"/>
      <c r="FE173" s="190"/>
      <c r="FF173" s="190"/>
      <c r="FG173" s="190"/>
      <c r="FH173" s="190"/>
      <c r="FI173" s="190"/>
      <c r="FJ173" s="190"/>
      <c r="FK173" s="190"/>
      <c r="FL173" s="190"/>
      <c r="FM173" s="190"/>
      <c r="FN173" s="190"/>
      <c r="FO173" s="190"/>
      <c r="FP173" s="190"/>
      <c r="FQ173" s="190"/>
      <c r="FR173" s="190"/>
      <c r="FS173" s="190"/>
      <c r="FT173" s="190"/>
      <c r="FU173" s="190"/>
      <c r="FV173" s="190"/>
      <c r="FW173" s="190"/>
      <c r="FX173" s="190"/>
      <c r="FY173" s="190"/>
      <c r="FZ173" s="190"/>
      <c r="GA173" s="190"/>
      <c r="GB173" s="190"/>
      <c r="GC173" s="190"/>
      <c r="GD173" s="190"/>
      <c r="GE173" s="190"/>
      <c r="GF173" s="190"/>
      <c r="GG173" s="190"/>
      <c r="GH173" s="190"/>
      <c r="GI173" s="190"/>
      <c r="GJ173" s="190"/>
      <c r="GK173" s="190"/>
      <c r="GL173" s="190"/>
      <c r="GM173" s="190"/>
      <c r="GN173" s="190"/>
      <c r="GO173" s="190"/>
      <c r="GP173" s="190"/>
      <c r="GQ173" s="190"/>
      <c r="GR173" s="190"/>
      <c r="GS173" s="190"/>
      <c r="GT173" s="190"/>
      <c r="GU173" s="190"/>
      <c r="GV173" s="190"/>
      <c r="GW173" s="190"/>
      <c r="GX173" s="190"/>
      <c r="GY173" s="190"/>
      <c r="GZ173" s="190"/>
      <c r="HA173" s="190"/>
      <c r="HB173" s="190"/>
      <c r="HC173" s="190"/>
      <c r="HD173" s="190"/>
      <c r="HE173" s="190"/>
      <c r="HF173" s="190"/>
      <c r="HG173" s="190"/>
      <c r="HH173" s="190"/>
      <c r="HI173" s="190"/>
      <c r="HJ173" s="190"/>
      <c r="HK173" s="190"/>
      <c r="HL173" s="190"/>
      <c r="HM173" s="190"/>
      <c r="HN173" s="190"/>
      <c r="HO173" s="190"/>
      <c r="HP173" s="190"/>
      <c r="HQ173" s="190"/>
      <c r="HR173" s="190"/>
      <c r="HS173" s="190"/>
      <c r="HT173" s="190"/>
      <c r="HU173" s="190"/>
      <c r="HV173" s="190"/>
      <c r="HW173" s="190"/>
      <c r="HX173" s="190"/>
      <c r="HY173" s="190"/>
      <c r="HZ173" s="190"/>
      <c r="IA173" s="190"/>
      <c r="IB173" s="190"/>
    </row>
    <row r="174" spans="1:236">
      <c r="A174" s="190"/>
      <c r="B174" s="190"/>
      <c r="C174" s="190"/>
      <c r="D174" s="190"/>
      <c r="E174" s="190"/>
      <c r="F174" s="190"/>
      <c r="G174" s="190"/>
      <c r="H174" s="190"/>
      <c r="I174" s="190"/>
      <c r="J174" s="190"/>
      <c r="K174" s="190"/>
      <c r="L174" s="190"/>
      <c r="M174" s="190"/>
      <c r="N174" s="190"/>
      <c r="O174" s="190"/>
      <c r="P174" s="190"/>
      <c r="Q174" s="190"/>
      <c r="AE174" s="190"/>
      <c r="AF174" s="19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c r="BP174" s="190"/>
      <c r="BQ174" s="190"/>
      <c r="BR174" s="190"/>
      <c r="BS174" s="190"/>
      <c r="BT174" s="190"/>
      <c r="BU174" s="190"/>
      <c r="BV174" s="190"/>
      <c r="BW174" s="190"/>
      <c r="BX174" s="190"/>
      <c r="BY174" s="190"/>
      <c r="BZ174" s="190"/>
      <c r="CA174" s="190"/>
      <c r="CB174" s="190"/>
      <c r="CC174" s="190"/>
      <c r="CD174" s="190"/>
      <c r="CE174" s="190"/>
      <c r="CF174" s="190"/>
      <c r="CG174" s="190"/>
      <c r="CH174" s="190"/>
      <c r="CI174" s="190"/>
      <c r="CJ174" s="190"/>
      <c r="CK174" s="190"/>
      <c r="CL174" s="190"/>
      <c r="CM174" s="190"/>
      <c r="CN174" s="190"/>
      <c r="CO174" s="190"/>
      <c r="CP174" s="190"/>
      <c r="CQ174" s="190"/>
      <c r="CR174" s="190"/>
      <c r="CS174" s="190"/>
      <c r="CT174" s="190"/>
      <c r="CU174" s="190"/>
      <c r="CV174" s="190"/>
      <c r="CW174" s="190"/>
      <c r="CX174" s="190"/>
      <c r="CY174" s="190"/>
      <c r="CZ174" s="190"/>
      <c r="DA174" s="190"/>
      <c r="DB174" s="190"/>
      <c r="DC174" s="190"/>
      <c r="DD174" s="190"/>
      <c r="DE174" s="190"/>
      <c r="DF174" s="190"/>
      <c r="DG174" s="190"/>
      <c r="DH174" s="190"/>
      <c r="DI174" s="190"/>
      <c r="DJ174" s="190"/>
      <c r="DK174" s="190"/>
      <c r="DL174" s="190"/>
      <c r="DM174" s="190"/>
      <c r="DN174" s="190"/>
      <c r="DO174" s="190"/>
      <c r="DP174" s="190"/>
      <c r="DQ174" s="190"/>
      <c r="DR174" s="190"/>
      <c r="DS174" s="190"/>
      <c r="DT174" s="190"/>
      <c r="DU174" s="190"/>
      <c r="DV174" s="190"/>
      <c r="DW174" s="190"/>
      <c r="DX174" s="190"/>
      <c r="DY174" s="190"/>
      <c r="DZ174" s="190"/>
      <c r="EA174" s="190"/>
      <c r="EB174" s="190"/>
      <c r="EC174" s="190"/>
      <c r="ED174" s="190"/>
      <c r="EE174" s="190"/>
      <c r="EF174" s="190"/>
      <c r="EG174" s="190"/>
      <c r="EH174" s="190"/>
      <c r="EI174" s="190"/>
      <c r="EJ174" s="190"/>
      <c r="EK174" s="190"/>
      <c r="EL174" s="190"/>
      <c r="EM174" s="190"/>
      <c r="EN174" s="190"/>
      <c r="EO174" s="190"/>
      <c r="EP174" s="190"/>
      <c r="EQ174" s="190"/>
      <c r="ER174" s="190"/>
      <c r="ES174" s="190"/>
      <c r="ET174" s="190"/>
      <c r="EU174" s="190"/>
      <c r="EV174" s="190"/>
      <c r="EW174" s="190"/>
      <c r="EX174" s="190"/>
      <c r="EY174" s="190"/>
      <c r="EZ174" s="190"/>
      <c r="FA174" s="190"/>
      <c r="FB174" s="190"/>
      <c r="FC174" s="190"/>
      <c r="FD174" s="190"/>
      <c r="FE174" s="190"/>
      <c r="FF174" s="190"/>
      <c r="FG174" s="190"/>
      <c r="FH174" s="190"/>
      <c r="FI174" s="190"/>
      <c r="FJ174" s="190"/>
      <c r="FK174" s="190"/>
      <c r="FL174" s="190"/>
      <c r="FM174" s="190"/>
      <c r="FN174" s="190"/>
      <c r="FO174" s="190"/>
      <c r="FP174" s="190"/>
      <c r="FQ174" s="190"/>
      <c r="FR174" s="190"/>
      <c r="FS174" s="190"/>
      <c r="FT174" s="190"/>
      <c r="FU174" s="190"/>
      <c r="FV174" s="190"/>
      <c r="FW174" s="190"/>
      <c r="FX174" s="190"/>
      <c r="FY174" s="190"/>
      <c r="FZ174" s="190"/>
      <c r="GA174" s="190"/>
      <c r="GB174" s="190"/>
      <c r="GC174" s="190"/>
      <c r="GD174" s="190"/>
      <c r="GE174" s="190"/>
      <c r="GF174" s="190"/>
      <c r="GG174" s="190"/>
      <c r="GH174" s="190"/>
      <c r="GI174" s="190"/>
      <c r="GJ174" s="190"/>
      <c r="GK174" s="190"/>
      <c r="GL174" s="190"/>
      <c r="GM174" s="190"/>
      <c r="GN174" s="190"/>
      <c r="GO174" s="190"/>
      <c r="GP174" s="190"/>
      <c r="GQ174" s="190"/>
      <c r="GR174" s="190"/>
      <c r="GS174" s="190"/>
      <c r="GT174" s="190"/>
      <c r="GU174" s="190"/>
      <c r="GV174" s="190"/>
      <c r="GW174" s="190"/>
      <c r="GX174" s="190"/>
      <c r="GY174" s="190"/>
      <c r="GZ174" s="190"/>
      <c r="HA174" s="190"/>
      <c r="HB174" s="190"/>
      <c r="HC174" s="190"/>
      <c r="HD174" s="190"/>
      <c r="HE174" s="190"/>
      <c r="HF174" s="190"/>
      <c r="HG174" s="190"/>
      <c r="HH174" s="190"/>
      <c r="HI174" s="190"/>
      <c r="HJ174" s="190"/>
      <c r="HK174" s="190"/>
      <c r="HL174" s="190"/>
      <c r="HM174" s="190"/>
      <c r="HN174" s="190"/>
      <c r="HO174" s="190"/>
      <c r="HP174" s="190"/>
      <c r="HQ174" s="190"/>
      <c r="HR174" s="190"/>
      <c r="HS174" s="190"/>
      <c r="HT174" s="190"/>
      <c r="HU174" s="190"/>
      <c r="HV174" s="190"/>
      <c r="HW174" s="190"/>
      <c r="HX174" s="190"/>
      <c r="HY174" s="190"/>
      <c r="HZ174" s="190"/>
      <c r="IA174" s="190"/>
      <c r="IB174" s="190"/>
    </row>
    <row r="175" spans="1:236">
      <c r="A175" s="190"/>
      <c r="B175" s="190"/>
      <c r="C175" s="190"/>
      <c r="D175" s="190"/>
      <c r="E175" s="190"/>
      <c r="F175" s="190"/>
      <c r="G175" s="190"/>
      <c r="H175" s="190"/>
      <c r="I175" s="190"/>
      <c r="J175" s="190"/>
      <c r="K175" s="190"/>
      <c r="L175" s="190"/>
      <c r="M175" s="190"/>
      <c r="N175" s="190"/>
      <c r="O175" s="190"/>
      <c r="P175" s="190"/>
      <c r="Q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c r="CG175" s="190"/>
      <c r="CH175" s="190"/>
      <c r="CI175" s="190"/>
      <c r="CJ175" s="190"/>
      <c r="CK175" s="190"/>
      <c r="CL175" s="190"/>
      <c r="CM175" s="190"/>
      <c r="CN175" s="190"/>
      <c r="CO175" s="190"/>
      <c r="CP175" s="190"/>
      <c r="CQ175" s="190"/>
      <c r="CR175" s="190"/>
      <c r="CS175" s="190"/>
      <c r="CT175" s="190"/>
      <c r="CU175" s="190"/>
      <c r="CV175" s="190"/>
      <c r="CW175" s="190"/>
      <c r="CX175" s="190"/>
      <c r="CY175" s="190"/>
      <c r="CZ175" s="190"/>
      <c r="DA175" s="190"/>
      <c r="DB175" s="190"/>
      <c r="DC175" s="190"/>
      <c r="DD175" s="190"/>
      <c r="DE175" s="190"/>
      <c r="DF175" s="190"/>
      <c r="DG175" s="190"/>
      <c r="DH175" s="190"/>
      <c r="DI175" s="190"/>
      <c r="DJ175" s="190"/>
      <c r="DK175" s="190"/>
      <c r="DL175" s="190"/>
      <c r="DM175" s="190"/>
      <c r="DN175" s="190"/>
      <c r="DO175" s="190"/>
      <c r="DP175" s="190"/>
      <c r="DQ175" s="190"/>
      <c r="DR175" s="190"/>
      <c r="DS175" s="190"/>
      <c r="DT175" s="190"/>
      <c r="DU175" s="190"/>
      <c r="DV175" s="190"/>
      <c r="DW175" s="190"/>
      <c r="DX175" s="190"/>
      <c r="DY175" s="190"/>
      <c r="DZ175" s="190"/>
      <c r="EA175" s="190"/>
      <c r="EB175" s="190"/>
      <c r="EC175" s="190"/>
      <c r="ED175" s="190"/>
      <c r="EE175" s="190"/>
      <c r="EF175" s="190"/>
      <c r="EG175" s="190"/>
      <c r="EH175" s="190"/>
      <c r="EI175" s="190"/>
      <c r="EJ175" s="190"/>
      <c r="EK175" s="190"/>
      <c r="EL175" s="190"/>
      <c r="EM175" s="190"/>
      <c r="EN175" s="190"/>
      <c r="EO175" s="190"/>
      <c r="EP175" s="190"/>
      <c r="EQ175" s="190"/>
      <c r="ER175" s="190"/>
      <c r="ES175" s="190"/>
      <c r="ET175" s="190"/>
      <c r="EU175" s="190"/>
      <c r="EV175" s="190"/>
      <c r="EW175" s="190"/>
      <c r="EX175" s="190"/>
      <c r="EY175" s="190"/>
      <c r="EZ175" s="190"/>
      <c r="FA175" s="190"/>
      <c r="FB175" s="190"/>
      <c r="FC175" s="190"/>
      <c r="FD175" s="190"/>
      <c r="FE175" s="190"/>
      <c r="FF175" s="190"/>
      <c r="FG175" s="190"/>
      <c r="FH175" s="190"/>
      <c r="FI175" s="190"/>
      <c r="FJ175" s="190"/>
      <c r="FK175" s="190"/>
      <c r="FL175" s="190"/>
      <c r="FM175" s="190"/>
      <c r="FN175" s="190"/>
      <c r="FO175" s="190"/>
      <c r="FP175" s="190"/>
      <c r="FQ175" s="190"/>
      <c r="FR175" s="190"/>
      <c r="FS175" s="190"/>
      <c r="FT175" s="190"/>
      <c r="FU175" s="190"/>
      <c r="FV175" s="190"/>
      <c r="FW175" s="190"/>
      <c r="FX175" s="190"/>
      <c r="FY175" s="190"/>
      <c r="FZ175" s="190"/>
      <c r="GA175" s="190"/>
      <c r="GB175" s="190"/>
      <c r="GC175" s="190"/>
      <c r="GD175" s="190"/>
      <c r="GE175" s="190"/>
      <c r="GF175" s="190"/>
      <c r="GG175" s="190"/>
      <c r="GH175" s="190"/>
      <c r="GI175" s="190"/>
      <c r="GJ175" s="190"/>
      <c r="GK175" s="190"/>
      <c r="GL175" s="190"/>
      <c r="GM175" s="190"/>
      <c r="GN175" s="190"/>
      <c r="GO175" s="190"/>
      <c r="GP175" s="190"/>
      <c r="GQ175" s="190"/>
      <c r="GR175" s="190"/>
      <c r="GS175" s="190"/>
      <c r="GT175" s="190"/>
      <c r="GU175" s="190"/>
      <c r="GV175" s="190"/>
      <c r="GW175" s="190"/>
      <c r="GX175" s="190"/>
      <c r="GY175" s="190"/>
      <c r="GZ175" s="190"/>
      <c r="HA175" s="190"/>
      <c r="HB175" s="190"/>
      <c r="HC175" s="190"/>
      <c r="HD175" s="190"/>
      <c r="HE175" s="190"/>
      <c r="HF175" s="190"/>
      <c r="HG175" s="190"/>
      <c r="HH175" s="190"/>
      <c r="HI175" s="190"/>
      <c r="HJ175" s="190"/>
      <c r="HK175" s="190"/>
      <c r="HL175" s="190"/>
      <c r="HM175" s="190"/>
      <c r="HN175" s="190"/>
      <c r="HO175" s="190"/>
      <c r="HP175" s="190"/>
      <c r="HQ175" s="190"/>
      <c r="HR175" s="190"/>
      <c r="HS175" s="190"/>
      <c r="HT175" s="190"/>
      <c r="HU175" s="190"/>
      <c r="HV175" s="190"/>
      <c r="HW175" s="190"/>
      <c r="HX175" s="190"/>
      <c r="HY175" s="190"/>
      <c r="HZ175" s="190"/>
      <c r="IA175" s="190"/>
      <c r="IB175" s="190"/>
    </row>
    <row r="176" spans="1:236">
      <c r="A176" s="190"/>
      <c r="B176" s="190"/>
      <c r="C176" s="190"/>
      <c r="D176" s="190"/>
      <c r="E176" s="190"/>
      <c r="F176" s="190"/>
      <c r="G176" s="190"/>
      <c r="H176" s="190"/>
      <c r="I176" s="190"/>
      <c r="J176" s="190"/>
      <c r="K176" s="190"/>
      <c r="L176" s="190"/>
      <c r="M176" s="190"/>
      <c r="N176" s="190"/>
      <c r="O176" s="190"/>
      <c r="P176" s="190"/>
      <c r="Q176" s="190"/>
      <c r="AE176" s="190"/>
      <c r="AF176" s="19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c r="BP176" s="190"/>
      <c r="BQ176" s="190"/>
      <c r="BR176" s="190"/>
      <c r="BS176" s="190"/>
      <c r="BT176" s="190"/>
      <c r="BU176" s="190"/>
      <c r="BV176" s="190"/>
      <c r="BW176" s="190"/>
      <c r="BX176" s="190"/>
      <c r="BY176" s="190"/>
      <c r="BZ176" s="190"/>
      <c r="CA176" s="190"/>
      <c r="CB176" s="190"/>
      <c r="CC176" s="190"/>
      <c r="CD176" s="190"/>
      <c r="CE176" s="190"/>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0"/>
      <c r="DE176" s="190"/>
      <c r="DF176" s="190"/>
      <c r="DG176" s="190"/>
      <c r="DH176" s="190"/>
      <c r="DI176" s="190"/>
      <c r="DJ176" s="190"/>
      <c r="DK176" s="190"/>
      <c r="DL176" s="190"/>
      <c r="DM176" s="190"/>
      <c r="DN176" s="190"/>
      <c r="DO176" s="190"/>
      <c r="DP176" s="190"/>
      <c r="DQ176" s="190"/>
      <c r="DR176" s="190"/>
      <c r="DS176" s="190"/>
      <c r="DT176" s="190"/>
      <c r="DU176" s="190"/>
      <c r="DV176" s="190"/>
      <c r="DW176" s="190"/>
      <c r="DX176" s="190"/>
      <c r="DY176" s="190"/>
      <c r="DZ176" s="190"/>
      <c r="EA176" s="190"/>
      <c r="EB176" s="190"/>
      <c r="EC176" s="190"/>
      <c r="ED176" s="190"/>
      <c r="EE176" s="190"/>
      <c r="EF176" s="190"/>
      <c r="EG176" s="190"/>
      <c r="EH176" s="190"/>
      <c r="EI176" s="190"/>
      <c r="EJ176" s="190"/>
      <c r="EK176" s="190"/>
      <c r="EL176" s="190"/>
      <c r="EM176" s="190"/>
      <c r="EN176" s="190"/>
      <c r="EO176" s="190"/>
      <c r="EP176" s="190"/>
      <c r="EQ176" s="190"/>
      <c r="ER176" s="190"/>
      <c r="ES176" s="190"/>
      <c r="ET176" s="190"/>
      <c r="EU176" s="190"/>
      <c r="EV176" s="190"/>
      <c r="EW176" s="190"/>
      <c r="EX176" s="190"/>
      <c r="EY176" s="190"/>
      <c r="EZ176" s="190"/>
      <c r="FA176" s="190"/>
      <c r="FB176" s="190"/>
      <c r="FC176" s="190"/>
      <c r="FD176" s="190"/>
      <c r="FE176" s="190"/>
      <c r="FF176" s="190"/>
      <c r="FG176" s="190"/>
      <c r="FH176" s="190"/>
      <c r="FI176" s="190"/>
      <c r="FJ176" s="190"/>
      <c r="FK176" s="190"/>
      <c r="FL176" s="190"/>
      <c r="FM176" s="190"/>
      <c r="FN176" s="190"/>
      <c r="FO176" s="190"/>
      <c r="FP176" s="190"/>
      <c r="FQ176" s="190"/>
      <c r="FR176" s="190"/>
      <c r="FS176" s="190"/>
      <c r="FT176" s="190"/>
      <c r="FU176" s="190"/>
      <c r="FV176" s="190"/>
      <c r="FW176" s="190"/>
      <c r="FX176" s="190"/>
      <c r="FY176" s="190"/>
      <c r="FZ176" s="190"/>
      <c r="GA176" s="190"/>
      <c r="GB176" s="190"/>
      <c r="GC176" s="190"/>
      <c r="GD176" s="190"/>
      <c r="GE176" s="190"/>
      <c r="GF176" s="190"/>
      <c r="GG176" s="190"/>
      <c r="GH176" s="190"/>
      <c r="GI176" s="190"/>
      <c r="GJ176" s="190"/>
      <c r="GK176" s="190"/>
      <c r="GL176" s="190"/>
      <c r="GM176" s="190"/>
      <c r="GN176" s="190"/>
      <c r="GO176" s="190"/>
      <c r="GP176" s="190"/>
      <c r="GQ176" s="190"/>
      <c r="GR176" s="190"/>
      <c r="GS176" s="190"/>
      <c r="GT176" s="190"/>
      <c r="GU176" s="190"/>
      <c r="GV176" s="190"/>
      <c r="GW176" s="190"/>
      <c r="GX176" s="190"/>
      <c r="GY176" s="190"/>
      <c r="GZ176" s="190"/>
      <c r="HA176" s="190"/>
      <c r="HB176" s="190"/>
      <c r="HC176" s="190"/>
      <c r="HD176" s="190"/>
      <c r="HE176" s="190"/>
      <c r="HF176" s="190"/>
      <c r="HG176" s="190"/>
      <c r="HH176" s="190"/>
      <c r="HI176" s="190"/>
      <c r="HJ176" s="190"/>
      <c r="HK176" s="190"/>
      <c r="HL176" s="190"/>
      <c r="HM176" s="190"/>
      <c r="HN176" s="190"/>
      <c r="HO176" s="190"/>
      <c r="HP176" s="190"/>
      <c r="HQ176" s="190"/>
      <c r="HR176" s="190"/>
      <c r="HS176" s="190"/>
      <c r="HT176" s="190"/>
      <c r="HU176" s="190"/>
      <c r="HV176" s="190"/>
      <c r="HW176" s="190"/>
      <c r="HX176" s="190"/>
      <c r="HY176" s="190"/>
      <c r="HZ176" s="190"/>
      <c r="IA176" s="190"/>
      <c r="IB176" s="190"/>
    </row>
    <row r="177" spans="1:236">
      <c r="A177" s="190"/>
      <c r="B177" s="190"/>
      <c r="C177" s="190"/>
      <c r="D177" s="190"/>
      <c r="E177" s="190"/>
      <c r="F177" s="190"/>
      <c r="G177" s="190"/>
      <c r="H177" s="190"/>
      <c r="I177" s="190"/>
      <c r="J177" s="190"/>
      <c r="K177" s="190"/>
      <c r="L177" s="190"/>
      <c r="M177" s="190"/>
      <c r="N177" s="190"/>
      <c r="O177" s="190"/>
      <c r="P177" s="190"/>
      <c r="Q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c r="CV177" s="190"/>
      <c r="CW177" s="190"/>
      <c r="CX177" s="190"/>
      <c r="CY177" s="190"/>
      <c r="CZ177" s="190"/>
      <c r="DA177" s="190"/>
      <c r="DB177" s="190"/>
      <c r="DC177" s="190"/>
      <c r="DD177" s="190"/>
      <c r="DE177" s="190"/>
      <c r="DF177" s="190"/>
      <c r="DG177" s="190"/>
      <c r="DH177" s="190"/>
      <c r="DI177" s="190"/>
      <c r="DJ177" s="190"/>
      <c r="DK177" s="190"/>
      <c r="DL177" s="190"/>
      <c r="DM177" s="190"/>
      <c r="DN177" s="190"/>
      <c r="DO177" s="190"/>
      <c r="DP177" s="190"/>
      <c r="DQ177" s="190"/>
      <c r="DR177" s="190"/>
      <c r="DS177" s="190"/>
      <c r="DT177" s="190"/>
      <c r="DU177" s="190"/>
      <c r="DV177" s="190"/>
      <c r="DW177" s="190"/>
      <c r="DX177" s="190"/>
      <c r="DY177" s="190"/>
      <c r="DZ177" s="190"/>
      <c r="EA177" s="190"/>
      <c r="EB177" s="190"/>
      <c r="EC177" s="190"/>
      <c r="ED177" s="190"/>
      <c r="EE177" s="190"/>
      <c r="EF177" s="190"/>
      <c r="EG177" s="190"/>
      <c r="EH177" s="190"/>
      <c r="EI177" s="190"/>
      <c r="EJ177" s="190"/>
      <c r="EK177" s="190"/>
      <c r="EL177" s="190"/>
      <c r="EM177" s="190"/>
      <c r="EN177" s="190"/>
      <c r="EO177" s="190"/>
      <c r="EP177" s="190"/>
      <c r="EQ177" s="190"/>
      <c r="ER177" s="190"/>
      <c r="ES177" s="190"/>
      <c r="ET177" s="190"/>
      <c r="EU177" s="190"/>
      <c r="EV177" s="190"/>
      <c r="EW177" s="190"/>
      <c r="EX177" s="190"/>
      <c r="EY177" s="190"/>
      <c r="EZ177" s="190"/>
      <c r="FA177" s="190"/>
      <c r="FB177" s="190"/>
      <c r="FC177" s="190"/>
      <c r="FD177" s="190"/>
      <c r="FE177" s="190"/>
      <c r="FF177" s="190"/>
      <c r="FG177" s="190"/>
      <c r="FH177" s="190"/>
      <c r="FI177" s="190"/>
      <c r="FJ177" s="190"/>
      <c r="FK177" s="190"/>
      <c r="FL177" s="190"/>
      <c r="FM177" s="190"/>
      <c r="FN177" s="190"/>
      <c r="FO177" s="190"/>
      <c r="FP177" s="190"/>
      <c r="FQ177" s="190"/>
      <c r="FR177" s="190"/>
      <c r="FS177" s="190"/>
      <c r="FT177" s="190"/>
      <c r="FU177" s="190"/>
      <c r="FV177" s="190"/>
      <c r="FW177" s="190"/>
      <c r="FX177" s="190"/>
      <c r="FY177" s="190"/>
      <c r="FZ177" s="190"/>
      <c r="GA177" s="190"/>
      <c r="GB177" s="190"/>
      <c r="GC177" s="190"/>
      <c r="GD177" s="190"/>
      <c r="GE177" s="190"/>
      <c r="GF177" s="190"/>
      <c r="GG177" s="190"/>
      <c r="GH177" s="190"/>
      <c r="GI177" s="190"/>
      <c r="GJ177" s="190"/>
      <c r="GK177" s="190"/>
      <c r="GL177" s="190"/>
      <c r="GM177" s="190"/>
      <c r="GN177" s="190"/>
      <c r="GO177" s="190"/>
      <c r="GP177" s="190"/>
      <c r="GQ177" s="190"/>
      <c r="GR177" s="190"/>
      <c r="GS177" s="190"/>
      <c r="GT177" s="190"/>
      <c r="GU177" s="190"/>
      <c r="GV177" s="190"/>
      <c r="GW177" s="190"/>
      <c r="GX177" s="190"/>
      <c r="GY177" s="190"/>
      <c r="GZ177" s="190"/>
      <c r="HA177" s="190"/>
      <c r="HB177" s="190"/>
      <c r="HC177" s="190"/>
      <c r="HD177" s="190"/>
      <c r="HE177" s="190"/>
      <c r="HF177" s="190"/>
      <c r="HG177" s="190"/>
      <c r="HH177" s="190"/>
      <c r="HI177" s="190"/>
      <c r="HJ177" s="190"/>
      <c r="HK177" s="190"/>
      <c r="HL177" s="190"/>
      <c r="HM177" s="190"/>
      <c r="HN177" s="190"/>
      <c r="HO177" s="190"/>
      <c r="HP177" s="190"/>
      <c r="HQ177" s="190"/>
      <c r="HR177" s="190"/>
      <c r="HS177" s="190"/>
      <c r="HT177" s="190"/>
      <c r="HU177" s="190"/>
      <c r="HV177" s="190"/>
      <c r="HW177" s="190"/>
      <c r="HX177" s="190"/>
      <c r="HY177" s="190"/>
      <c r="HZ177" s="190"/>
      <c r="IA177" s="190"/>
      <c r="IB177" s="190"/>
    </row>
    <row r="178" spans="1:236">
      <c r="A178" s="190"/>
      <c r="B178" s="190"/>
      <c r="C178" s="190"/>
      <c r="D178" s="190"/>
      <c r="E178" s="190"/>
      <c r="F178" s="190"/>
      <c r="G178" s="190"/>
      <c r="H178" s="190"/>
      <c r="I178" s="190"/>
      <c r="J178" s="190"/>
      <c r="K178" s="190"/>
      <c r="L178" s="190"/>
      <c r="M178" s="190"/>
      <c r="N178" s="190"/>
      <c r="O178" s="190"/>
      <c r="P178" s="190"/>
      <c r="Q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c r="CV178" s="190"/>
      <c r="CW178" s="190"/>
      <c r="CX178" s="190"/>
      <c r="CY178" s="190"/>
      <c r="CZ178" s="190"/>
      <c r="DA178" s="190"/>
      <c r="DB178" s="190"/>
      <c r="DC178" s="190"/>
      <c r="DD178" s="190"/>
      <c r="DE178" s="190"/>
      <c r="DF178" s="190"/>
      <c r="DG178" s="190"/>
      <c r="DH178" s="190"/>
      <c r="DI178" s="190"/>
      <c r="DJ178" s="190"/>
      <c r="DK178" s="190"/>
      <c r="DL178" s="190"/>
      <c r="DM178" s="190"/>
      <c r="DN178" s="190"/>
      <c r="DO178" s="190"/>
      <c r="DP178" s="190"/>
      <c r="DQ178" s="190"/>
      <c r="DR178" s="190"/>
      <c r="DS178" s="190"/>
      <c r="DT178" s="190"/>
      <c r="DU178" s="190"/>
      <c r="DV178" s="190"/>
      <c r="DW178" s="190"/>
      <c r="DX178" s="190"/>
      <c r="DY178" s="190"/>
      <c r="DZ178" s="190"/>
      <c r="EA178" s="190"/>
      <c r="EB178" s="190"/>
      <c r="EC178" s="190"/>
      <c r="ED178" s="190"/>
      <c r="EE178" s="190"/>
      <c r="EF178" s="190"/>
      <c r="EG178" s="190"/>
      <c r="EH178" s="190"/>
      <c r="EI178" s="190"/>
      <c r="EJ178" s="190"/>
      <c r="EK178" s="190"/>
      <c r="EL178" s="190"/>
      <c r="EM178" s="190"/>
      <c r="EN178" s="190"/>
      <c r="EO178" s="190"/>
      <c r="EP178" s="190"/>
      <c r="EQ178" s="190"/>
      <c r="ER178" s="190"/>
      <c r="ES178" s="190"/>
      <c r="ET178" s="190"/>
      <c r="EU178" s="190"/>
      <c r="EV178" s="190"/>
      <c r="EW178" s="190"/>
      <c r="EX178" s="190"/>
      <c r="EY178" s="190"/>
      <c r="EZ178" s="190"/>
      <c r="FA178" s="190"/>
      <c r="FB178" s="190"/>
      <c r="FC178" s="190"/>
      <c r="FD178" s="190"/>
      <c r="FE178" s="190"/>
      <c r="FF178" s="190"/>
      <c r="FG178" s="190"/>
      <c r="FH178" s="190"/>
      <c r="FI178" s="190"/>
      <c r="FJ178" s="190"/>
      <c r="FK178" s="190"/>
      <c r="FL178" s="190"/>
      <c r="FM178" s="190"/>
      <c r="FN178" s="190"/>
      <c r="FO178" s="190"/>
      <c r="FP178" s="190"/>
      <c r="FQ178" s="190"/>
      <c r="FR178" s="190"/>
      <c r="FS178" s="190"/>
      <c r="FT178" s="190"/>
      <c r="FU178" s="190"/>
      <c r="FV178" s="190"/>
      <c r="FW178" s="190"/>
      <c r="FX178" s="190"/>
      <c r="FY178" s="190"/>
      <c r="FZ178" s="190"/>
      <c r="GA178" s="190"/>
      <c r="GB178" s="190"/>
      <c r="GC178" s="190"/>
      <c r="GD178" s="190"/>
      <c r="GE178" s="190"/>
      <c r="GF178" s="190"/>
      <c r="GG178" s="190"/>
      <c r="GH178" s="190"/>
      <c r="GI178" s="190"/>
      <c r="GJ178" s="190"/>
      <c r="GK178" s="190"/>
      <c r="GL178" s="190"/>
      <c r="GM178" s="190"/>
      <c r="GN178" s="190"/>
      <c r="GO178" s="190"/>
      <c r="GP178" s="190"/>
      <c r="GQ178" s="190"/>
      <c r="GR178" s="190"/>
      <c r="GS178" s="190"/>
      <c r="GT178" s="190"/>
      <c r="GU178" s="190"/>
      <c r="GV178" s="190"/>
      <c r="GW178" s="190"/>
      <c r="GX178" s="190"/>
      <c r="GY178" s="190"/>
      <c r="GZ178" s="190"/>
      <c r="HA178" s="190"/>
      <c r="HB178" s="190"/>
      <c r="HC178" s="190"/>
      <c r="HD178" s="190"/>
      <c r="HE178" s="190"/>
      <c r="HF178" s="190"/>
      <c r="HG178" s="190"/>
      <c r="HH178" s="190"/>
      <c r="HI178" s="190"/>
      <c r="HJ178" s="190"/>
      <c r="HK178" s="190"/>
      <c r="HL178" s="190"/>
      <c r="HM178" s="190"/>
      <c r="HN178" s="190"/>
      <c r="HO178" s="190"/>
      <c r="HP178" s="190"/>
      <c r="HQ178" s="190"/>
      <c r="HR178" s="190"/>
      <c r="HS178" s="190"/>
      <c r="HT178" s="190"/>
      <c r="HU178" s="190"/>
      <c r="HV178" s="190"/>
      <c r="HW178" s="190"/>
      <c r="HX178" s="190"/>
      <c r="HY178" s="190"/>
      <c r="HZ178" s="190"/>
      <c r="IA178" s="190"/>
      <c r="IB178" s="190"/>
    </row>
  </sheetData>
  <sheetProtection password="C752" sheet="1" objects="1" scenarios="1"/>
  <mergeCells count="80">
    <mergeCell ref="BG76:BI78"/>
    <mergeCell ref="BG79:BI79"/>
    <mergeCell ref="BH81:BI81"/>
    <mergeCell ref="BG1:BI1"/>
    <mergeCell ref="BG2:BH3"/>
    <mergeCell ref="BI2:BI3"/>
    <mergeCell ref="BG72:BI72"/>
    <mergeCell ref="BG74:BI74"/>
    <mergeCell ref="BD76:BF78"/>
    <mergeCell ref="BD79:BF79"/>
    <mergeCell ref="BE81:BF81"/>
    <mergeCell ref="BD1:BF1"/>
    <mergeCell ref="BD2:BE3"/>
    <mergeCell ref="BF2:BF3"/>
    <mergeCell ref="BD72:BF72"/>
    <mergeCell ref="BD74:BF74"/>
    <mergeCell ref="AX76:AZ78"/>
    <mergeCell ref="AX79:AZ79"/>
    <mergeCell ref="AY81:AZ81"/>
    <mergeCell ref="AX1:AZ1"/>
    <mergeCell ref="AX2:AY3"/>
    <mergeCell ref="AZ2:AZ3"/>
    <mergeCell ref="AX72:AZ72"/>
    <mergeCell ref="AX74:AZ74"/>
    <mergeCell ref="AR76:AT78"/>
    <mergeCell ref="AR79:AT79"/>
    <mergeCell ref="AS81:AT81"/>
    <mergeCell ref="AR1:AT1"/>
    <mergeCell ref="AR2:AS3"/>
    <mergeCell ref="AT2:AT3"/>
    <mergeCell ref="AR72:AT72"/>
    <mergeCell ref="AR74:AT74"/>
    <mergeCell ref="AN1:AP1"/>
    <mergeCell ref="AN2:AO3"/>
    <mergeCell ref="AP2:AP3"/>
    <mergeCell ref="AN72:AP72"/>
    <mergeCell ref="AN74:AP74"/>
    <mergeCell ref="AN76:AP78"/>
    <mergeCell ref="AN79:AP79"/>
    <mergeCell ref="AO81:AP81"/>
    <mergeCell ref="Z83:AA83"/>
    <mergeCell ref="AD83:AE88"/>
    <mergeCell ref="AD89:AE89"/>
    <mergeCell ref="AJ1:AL1"/>
    <mergeCell ref="AJ3:AL3"/>
    <mergeCell ref="Z81:AA82"/>
    <mergeCell ref="AD81:AE82"/>
    <mergeCell ref="AG81:AH82"/>
    <mergeCell ref="AJ81:AK82"/>
    <mergeCell ref="AA1:AC1"/>
    <mergeCell ref="AG1:AI1"/>
    <mergeCell ref="AG3:AI3"/>
    <mergeCell ref="X3:Z3"/>
    <mergeCell ref="AA3:AC3"/>
    <mergeCell ref="AD3:AF3"/>
    <mergeCell ref="AD1:AF1"/>
    <mergeCell ref="O3:Q3"/>
    <mergeCell ref="R3:T3"/>
    <mergeCell ref="U3:W3"/>
    <mergeCell ref="A2:B3"/>
    <mergeCell ref="C3:E3"/>
    <mergeCell ref="F3:H3"/>
    <mergeCell ref="I3:K3"/>
    <mergeCell ref="L3:N3"/>
    <mergeCell ref="AU76:AW78"/>
    <mergeCell ref="AU79:AW79"/>
    <mergeCell ref="AV81:AW81"/>
    <mergeCell ref="AU1:AW1"/>
    <mergeCell ref="AU2:AV3"/>
    <mergeCell ref="AW2:AW3"/>
    <mergeCell ref="AU72:AW72"/>
    <mergeCell ref="AU74:AW74"/>
    <mergeCell ref="BA76:BC78"/>
    <mergeCell ref="BA79:BC79"/>
    <mergeCell ref="BB81:BC81"/>
    <mergeCell ref="BA1:BC1"/>
    <mergeCell ref="BA2:BB3"/>
    <mergeCell ref="BC2:BC3"/>
    <mergeCell ref="BA72:BC72"/>
    <mergeCell ref="BA74:BC74"/>
  </mergeCells>
  <phoneticPr fontId="22" type="noConversion"/>
  <printOptions horizontalCentered="1" verticalCentered="1"/>
  <pageMargins left="0.74803149606299213" right="0.74803149606299213" top="0.39370078740157483" bottom="0.39370078740157483" header="0.51181102362204722" footer="0.51181102362204722"/>
  <pageSetup scale="60" fitToHeight="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L51"/>
  <sheetViews>
    <sheetView tabSelected="1" zoomScale="80" zoomScaleNormal="80" workbookViewId="0">
      <selection activeCell="J12" sqref="J12"/>
    </sheetView>
  </sheetViews>
  <sheetFormatPr baseColWidth="10" defaultRowHeight="14.25" outlineLevelCol="1"/>
  <cols>
    <col min="1" max="1" width="59.85546875" style="12" customWidth="1"/>
    <col min="2" max="2" width="18.85546875" style="12" customWidth="1" outlineLevel="1"/>
    <col min="3" max="4" width="18.85546875" style="12" customWidth="1"/>
    <col min="5" max="5" width="21" style="12" customWidth="1" outlineLevel="1"/>
    <col min="6" max="6" width="17.28515625" style="304" hidden="1" customWidth="1" outlineLevel="1"/>
    <col min="7" max="7" width="17.28515625" style="12" hidden="1" customWidth="1"/>
    <col min="8" max="8" width="19.28515625" style="304" hidden="1" customWidth="1"/>
    <col min="9" max="9" width="19.42578125" style="6" hidden="1" customWidth="1"/>
    <col min="10" max="10" width="13.28515625" style="6" customWidth="1"/>
    <col min="11" max="16384" width="11.42578125" style="6"/>
  </cols>
  <sheetData>
    <row r="1" spans="1:12" ht="15">
      <c r="A1" s="1" t="s">
        <v>709</v>
      </c>
      <c r="B1" s="2"/>
      <c r="C1" s="2">
        <v>7.2405999999999997</v>
      </c>
      <c r="D1" s="4"/>
      <c r="E1" s="5"/>
      <c r="F1" s="5"/>
      <c r="G1" s="3"/>
      <c r="H1" s="3"/>
    </row>
    <row r="2" spans="1:12" s="57" customFormat="1" ht="21.75" customHeight="1">
      <c r="A2" s="751" t="str">
        <f>CONCATENATE("ESTRUCTURAS DE PRECIOS DE COMBUSTIBLES LIQUIDOS VIGENTES A PARTIR DE ",$A$1)</f>
        <v>ESTRUCTURAS DE PRECIOS DE COMBUSTIBLES LIQUIDOS VIGENTES A PARTIR DE 01 DE SEPTIEMBRE 2020</v>
      </c>
      <c r="B2" s="751"/>
      <c r="C2" s="751"/>
      <c r="D2" s="751"/>
      <c r="E2" s="751"/>
      <c r="F2" s="751"/>
      <c r="G2" s="751"/>
      <c r="H2" s="650"/>
      <c r="I2" s="651"/>
    </row>
    <row r="3" spans="1:12" s="57" customFormat="1" ht="21.75" customHeight="1">
      <c r="A3" s="318" t="s">
        <v>0</v>
      </c>
      <c r="B3" s="180"/>
      <c r="C3" s="180"/>
      <c r="D3" s="180"/>
      <c r="E3" s="180"/>
      <c r="F3" s="180"/>
      <c r="G3" s="180"/>
      <c r="H3" s="648"/>
      <c r="I3" s="319"/>
    </row>
    <row r="4" spans="1:12" s="51" customFormat="1" ht="24" customHeight="1">
      <c r="A4" s="756" t="s">
        <v>1</v>
      </c>
      <c r="B4" s="758" t="s">
        <v>25</v>
      </c>
      <c r="C4" s="760" t="s">
        <v>10</v>
      </c>
      <c r="D4" s="761"/>
      <c r="E4" s="758" t="s">
        <v>701</v>
      </c>
      <c r="F4" s="760" t="s">
        <v>700</v>
      </c>
      <c r="G4" s="762"/>
      <c r="H4" s="763" t="s">
        <v>700</v>
      </c>
      <c r="I4" s="764"/>
    </row>
    <row r="5" spans="1:12" s="51" customFormat="1" ht="30" customHeight="1">
      <c r="A5" s="756"/>
      <c r="B5" s="759"/>
      <c r="C5" s="64" t="s">
        <v>51</v>
      </c>
      <c r="D5" s="64" t="s">
        <v>52</v>
      </c>
      <c r="E5" s="759"/>
      <c r="F5" s="320" t="s">
        <v>704</v>
      </c>
      <c r="G5" s="320" t="s">
        <v>705</v>
      </c>
      <c r="H5" s="660" t="s">
        <v>710</v>
      </c>
      <c r="I5" s="660" t="s">
        <v>711</v>
      </c>
    </row>
    <row r="6" spans="1:12" s="51" customFormat="1" ht="24" customHeight="1" thickBot="1">
      <c r="A6" s="757"/>
      <c r="B6" s="181" t="str">
        <f>+A1</f>
        <v>01 DE SEPTIEMBRE 2020</v>
      </c>
      <c r="C6" s="181" t="str">
        <f>+B6</f>
        <v>01 DE SEPTIEMBRE 2020</v>
      </c>
      <c r="D6" s="182" t="str">
        <f>+A1</f>
        <v>01 DE SEPTIEMBRE 2020</v>
      </c>
      <c r="E6" s="181" t="str">
        <f>+D6</f>
        <v>01 DE SEPTIEMBRE 2020</v>
      </c>
      <c r="F6" s="321" t="str">
        <f>+E6</f>
        <v>01 DE SEPTIEMBRE 2020</v>
      </c>
      <c r="G6" s="321" t="str">
        <f>+F6</f>
        <v>01 DE SEPTIEMBRE 2020</v>
      </c>
      <c r="H6" s="661" t="str">
        <f>+G6</f>
        <v>01 DE SEPTIEMBRE 2020</v>
      </c>
      <c r="I6" s="661" t="str">
        <f>+F6</f>
        <v>01 DE SEPTIEMBRE 2020</v>
      </c>
    </row>
    <row r="7" spans="1:12" ht="22.5" customHeight="1" thickTop="1">
      <c r="A7" s="73" t="s">
        <v>3</v>
      </c>
      <c r="B7" s="656">
        <v>4028</v>
      </c>
      <c r="C7" s="656">
        <v>5700</v>
      </c>
      <c r="D7" s="657">
        <f>+C7</f>
        <v>5700</v>
      </c>
      <c r="E7" s="656">
        <v>4583.5</v>
      </c>
      <c r="F7" s="568">
        <f>6759.88-99.88</f>
        <v>6660</v>
      </c>
      <c r="G7" s="641">
        <v>6839.92</v>
      </c>
      <c r="H7" s="664"/>
      <c r="I7" s="665"/>
    </row>
    <row r="8" spans="1:12" ht="22.5" customHeight="1">
      <c r="A8" s="65" t="s">
        <v>56</v>
      </c>
      <c r="B8" s="472">
        <f>7.9*(1+3%)</f>
        <v>8.1370000000000005</v>
      </c>
      <c r="C8" s="458">
        <f>+B8</f>
        <v>8.1370000000000005</v>
      </c>
      <c r="D8" s="458">
        <f>+C8</f>
        <v>8.1370000000000005</v>
      </c>
      <c r="E8" s="458">
        <f>D8</f>
        <v>8.1370000000000005</v>
      </c>
      <c r="F8" s="569"/>
      <c r="G8" s="574"/>
      <c r="H8" s="666"/>
      <c r="I8" s="667"/>
    </row>
    <row r="9" spans="1:12" ht="22.5" customHeight="1">
      <c r="A9" s="65" t="s">
        <v>232</v>
      </c>
      <c r="B9" s="66" t="s">
        <v>11</v>
      </c>
      <c r="C9" s="66" t="s">
        <v>11</v>
      </c>
      <c r="D9" s="66" t="s">
        <v>11</v>
      </c>
      <c r="E9" s="66" t="s">
        <v>11</v>
      </c>
      <c r="F9" s="565" t="s">
        <v>11</v>
      </c>
      <c r="G9" s="575" t="s">
        <v>11</v>
      </c>
      <c r="H9" s="668"/>
      <c r="I9" s="669"/>
    </row>
    <row r="10" spans="1:12" ht="22.5" customHeight="1">
      <c r="A10" s="65" t="s">
        <v>222</v>
      </c>
      <c r="B10" s="67">
        <v>71.510000000000005</v>
      </c>
      <c r="C10" s="67">
        <f>B10</f>
        <v>71.510000000000005</v>
      </c>
      <c r="D10" s="67">
        <f>B10</f>
        <v>71.510000000000005</v>
      </c>
      <c r="E10" s="67">
        <f>B10</f>
        <v>71.510000000000005</v>
      </c>
      <c r="F10" s="570"/>
      <c r="G10" s="576"/>
      <c r="H10" s="670"/>
      <c r="I10" s="671"/>
      <c r="J10" s="56"/>
      <c r="K10" s="56"/>
      <c r="L10" s="56"/>
    </row>
    <row r="11" spans="1:12" ht="22.5" customHeight="1">
      <c r="A11" s="65" t="s">
        <v>262</v>
      </c>
      <c r="B11" s="459">
        <f>+Variables!C20</f>
        <v>546.26</v>
      </c>
      <c r="C11" s="67">
        <f>+Variables!C23</f>
        <v>1036.78</v>
      </c>
      <c r="D11" s="67">
        <f>+ROUND(C11,2)</f>
        <v>1036.78</v>
      </c>
      <c r="E11" s="67">
        <f>+Variables!C27</f>
        <v>522.85</v>
      </c>
      <c r="F11" s="566"/>
      <c r="G11" s="576"/>
      <c r="H11" s="672"/>
      <c r="I11" s="671"/>
      <c r="J11" s="621"/>
      <c r="K11" s="56"/>
      <c r="L11" s="56"/>
    </row>
    <row r="12" spans="1:12" ht="22.5" customHeight="1">
      <c r="A12" s="65" t="s">
        <v>271</v>
      </c>
      <c r="B12" s="475" t="s">
        <v>381</v>
      </c>
      <c r="C12" s="475" t="s">
        <v>381</v>
      </c>
      <c r="D12" s="475" t="s">
        <v>381</v>
      </c>
      <c r="E12" s="475" t="s">
        <v>381</v>
      </c>
      <c r="F12" s="564" t="s">
        <v>381</v>
      </c>
      <c r="G12" s="576" t="s">
        <v>381</v>
      </c>
      <c r="H12" s="666"/>
      <c r="I12" s="671"/>
      <c r="J12" s="56"/>
      <c r="K12" s="56"/>
      <c r="L12" s="56"/>
    </row>
    <row r="13" spans="1:12" ht="22.5" customHeight="1">
      <c r="A13" s="65" t="s">
        <v>360</v>
      </c>
      <c r="B13" s="459">
        <v>155</v>
      </c>
      <c r="C13" s="67">
        <v>155</v>
      </c>
      <c r="D13" s="67">
        <v>155</v>
      </c>
      <c r="E13" s="67">
        <v>174</v>
      </c>
      <c r="F13" s="566"/>
      <c r="G13" s="576"/>
      <c r="H13" s="666"/>
      <c r="I13" s="671"/>
      <c r="J13" s="56"/>
      <c r="K13" s="56"/>
      <c r="L13" s="56"/>
    </row>
    <row r="14" spans="1:12" ht="22.5" customHeight="1">
      <c r="A14" s="65" t="s">
        <v>23</v>
      </c>
      <c r="B14" s="66" t="s">
        <v>12</v>
      </c>
      <c r="C14" s="66" t="s">
        <v>12</v>
      </c>
      <c r="D14" s="66" t="s">
        <v>12</v>
      </c>
      <c r="E14" s="66" t="s">
        <v>12</v>
      </c>
      <c r="F14" s="565"/>
      <c r="G14" s="575"/>
      <c r="H14" s="668"/>
      <c r="I14" s="669"/>
      <c r="J14" s="56"/>
      <c r="K14" s="56"/>
      <c r="L14" s="56"/>
    </row>
    <row r="15" spans="1:12" ht="22.5" customHeight="1">
      <c r="A15" s="65" t="s">
        <v>223</v>
      </c>
      <c r="B15" s="66" t="s">
        <v>22</v>
      </c>
      <c r="C15" s="66"/>
      <c r="D15" s="66"/>
      <c r="E15" s="66" t="str">
        <f>+B15</f>
        <v>(***)</v>
      </c>
      <c r="F15" s="571"/>
      <c r="G15" s="577"/>
      <c r="H15" s="670"/>
      <c r="I15" s="673"/>
      <c r="J15" s="622"/>
      <c r="K15" s="56"/>
      <c r="L15" s="56"/>
    </row>
    <row r="16" spans="1:12" ht="22.5" customHeight="1">
      <c r="A16" s="65" t="s">
        <v>8</v>
      </c>
      <c r="B16" s="67">
        <f>+ROUND(0.25*Variables!E20,2)</f>
        <v>1269.69</v>
      </c>
      <c r="C16" s="67">
        <f>+ROUND(Variables!E23*0.25,2)</f>
        <v>1776.95</v>
      </c>
      <c r="D16" s="67">
        <f>+ROUND(C16,2)</f>
        <v>1776.95</v>
      </c>
      <c r="E16" s="67">
        <f>+ROUND(Variables!E27*0.06,2)</f>
        <v>301.48</v>
      </c>
      <c r="F16" s="572" t="s">
        <v>2</v>
      </c>
      <c r="G16" s="578" t="s">
        <v>2</v>
      </c>
      <c r="H16" s="672"/>
      <c r="I16" s="674"/>
      <c r="J16" s="622"/>
      <c r="K16" s="56"/>
      <c r="L16" s="56"/>
    </row>
    <row r="17" spans="1:12" ht="22.5" customHeight="1">
      <c r="A17" s="65" t="s">
        <v>5</v>
      </c>
      <c r="B17" s="66" t="s">
        <v>12</v>
      </c>
      <c r="C17" s="66" t="s">
        <v>12</v>
      </c>
      <c r="D17" s="66" t="s">
        <v>12</v>
      </c>
      <c r="E17" s="66" t="s">
        <v>12</v>
      </c>
      <c r="F17" s="572" t="s">
        <v>2</v>
      </c>
      <c r="G17" s="578" t="s">
        <v>2</v>
      </c>
      <c r="H17" s="666"/>
      <c r="I17" s="674"/>
      <c r="J17" s="623"/>
      <c r="K17" s="624"/>
      <c r="L17" s="56"/>
    </row>
    <row r="18" spans="1:12" ht="22.5" customHeight="1">
      <c r="A18" s="65" t="s">
        <v>224</v>
      </c>
      <c r="B18" s="66" t="s">
        <v>22</v>
      </c>
      <c r="C18" s="66"/>
      <c r="D18" s="66"/>
      <c r="E18" s="66" t="str">
        <f>+B18</f>
        <v>(***)</v>
      </c>
      <c r="F18" s="572" t="s">
        <v>2</v>
      </c>
      <c r="G18" s="578" t="s">
        <v>2</v>
      </c>
      <c r="H18" s="666"/>
      <c r="I18" s="674"/>
      <c r="J18" s="56"/>
      <c r="K18" s="625"/>
      <c r="L18" s="56"/>
    </row>
    <row r="19" spans="1:12" ht="22.5" customHeight="1">
      <c r="A19" s="65" t="s">
        <v>7</v>
      </c>
      <c r="B19" s="66" t="s">
        <v>225</v>
      </c>
      <c r="C19" s="66"/>
      <c r="D19" s="66"/>
      <c r="E19" s="66"/>
      <c r="F19" s="573" t="s">
        <v>2</v>
      </c>
      <c r="G19" s="579" t="s">
        <v>2</v>
      </c>
      <c r="H19" s="668"/>
      <c r="I19" s="675"/>
      <c r="J19" s="626"/>
      <c r="K19" s="56"/>
      <c r="L19" s="56"/>
    </row>
    <row r="20" spans="1:12" ht="22.5" customHeight="1">
      <c r="A20" s="65" t="s">
        <v>229</v>
      </c>
      <c r="B20" s="66" t="s">
        <v>22</v>
      </c>
      <c r="C20" s="67"/>
      <c r="D20" s="67"/>
      <c r="E20" s="66" t="str">
        <f>+B20</f>
        <v>(***)</v>
      </c>
      <c r="F20" s="572" t="s">
        <v>2</v>
      </c>
      <c r="G20" s="578" t="s">
        <v>2</v>
      </c>
      <c r="H20" s="670"/>
      <c r="I20" s="674"/>
      <c r="J20" s="627"/>
      <c r="K20" s="56"/>
      <c r="L20" s="56"/>
    </row>
    <row r="21" spans="1:12" ht="22.5" customHeight="1" thickBot="1">
      <c r="A21" s="70" t="s">
        <v>9</v>
      </c>
      <c r="B21" s="71" t="s">
        <v>12</v>
      </c>
      <c r="C21" s="71" t="s">
        <v>12</v>
      </c>
      <c r="D21" s="71" t="s">
        <v>12</v>
      </c>
      <c r="E21" s="71" t="s">
        <v>12</v>
      </c>
      <c r="F21" s="567" t="s">
        <v>2</v>
      </c>
      <c r="G21" s="580" t="s">
        <v>2</v>
      </c>
      <c r="H21" s="676"/>
      <c r="I21" s="677"/>
      <c r="J21" s="622"/>
      <c r="K21" s="56"/>
      <c r="L21" s="56"/>
    </row>
    <row r="22" spans="1:12" ht="21.75" customHeight="1" thickTop="1">
      <c r="A22" s="752"/>
      <c r="B22" s="753"/>
      <c r="C22" s="753"/>
      <c r="D22" s="753"/>
      <c r="E22" s="753"/>
      <c r="F22" s="753"/>
      <c r="G22" s="753"/>
      <c r="H22" s="649"/>
      <c r="J22" s="56"/>
      <c r="K22" s="56"/>
      <c r="L22" s="56"/>
    </row>
    <row r="23" spans="1:12" s="63" customFormat="1" ht="30" customHeight="1">
      <c r="A23" s="754" t="s">
        <v>221</v>
      </c>
      <c r="B23" s="754"/>
      <c r="C23" s="754"/>
      <c r="D23" s="754"/>
      <c r="E23" s="754"/>
      <c r="F23" s="754"/>
      <c r="G23" s="754"/>
      <c r="H23" s="754"/>
      <c r="I23" s="754"/>
    </row>
    <row r="24" spans="1:12" s="63" customFormat="1" ht="11.25" customHeight="1">
      <c r="A24" s="747"/>
      <c r="B24" s="747"/>
      <c r="C24" s="747"/>
      <c r="D24" s="747"/>
      <c r="E24" s="747"/>
      <c r="F24" s="747"/>
      <c r="G24" s="747"/>
      <c r="H24" s="747"/>
      <c r="I24" s="747"/>
    </row>
    <row r="25" spans="1:12" s="63" customFormat="1" ht="31.5" customHeight="1">
      <c r="A25" s="754" t="s">
        <v>217</v>
      </c>
      <c r="B25" s="754"/>
      <c r="C25" s="754"/>
      <c r="D25" s="754"/>
      <c r="E25" s="754"/>
      <c r="F25" s="754"/>
      <c r="G25" s="754"/>
      <c r="H25" s="754"/>
      <c r="I25" s="754"/>
    </row>
    <row r="26" spans="1:12" s="63" customFormat="1" ht="7.5" customHeight="1">
      <c r="A26" s="747"/>
      <c r="B26" s="747"/>
      <c r="C26" s="747"/>
      <c r="D26" s="747"/>
      <c r="E26" s="747"/>
      <c r="F26" s="747"/>
      <c r="G26" s="747"/>
      <c r="H26" s="747"/>
      <c r="I26" s="747"/>
    </row>
    <row r="27" spans="1:12" ht="43.5" customHeight="1">
      <c r="A27" s="755" t="s">
        <v>706</v>
      </c>
      <c r="B27" s="755"/>
      <c r="C27" s="755"/>
      <c r="D27" s="755"/>
      <c r="E27" s="755"/>
      <c r="F27" s="755"/>
      <c r="G27" s="755"/>
      <c r="H27" s="755"/>
      <c r="I27" s="755"/>
    </row>
    <row r="28" spans="1:12" s="9" customFormat="1" ht="8.25" customHeight="1">
      <c r="A28" s="747"/>
      <c r="B28" s="747"/>
      <c r="C28" s="747"/>
      <c r="D28" s="747"/>
      <c r="E28" s="747"/>
      <c r="F28" s="747"/>
      <c r="G28" s="747"/>
      <c r="H28" s="747"/>
      <c r="I28" s="747"/>
    </row>
    <row r="29" spans="1:12" ht="18" customHeight="1">
      <c r="A29" s="748" t="s">
        <v>219</v>
      </c>
      <c r="B29" s="748"/>
      <c r="C29" s="748"/>
      <c r="D29" s="748"/>
      <c r="E29" s="748"/>
      <c r="F29" s="748"/>
      <c r="G29" s="748"/>
      <c r="H29" s="748"/>
      <c r="I29" s="748"/>
    </row>
    <row r="30" spans="1:12" ht="7.5" customHeight="1">
      <c r="A30" s="746"/>
      <c r="B30" s="746"/>
      <c r="C30" s="746"/>
      <c r="D30" s="746"/>
      <c r="E30" s="746"/>
      <c r="F30" s="746"/>
      <c r="G30" s="746"/>
      <c r="H30" s="746"/>
      <c r="I30" s="746"/>
    </row>
    <row r="31" spans="1:12" ht="29.25" customHeight="1">
      <c r="A31" s="748" t="s">
        <v>297</v>
      </c>
      <c r="B31" s="748"/>
      <c r="C31" s="748"/>
      <c r="D31" s="748"/>
      <c r="E31" s="748"/>
      <c r="F31" s="748"/>
      <c r="G31" s="748"/>
      <c r="H31" s="748"/>
      <c r="I31" s="748"/>
    </row>
    <row r="32" spans="1:12" s="10" customFormat="1" ht="18" customHeight="1">
      <c r="A32" s="748" t="s">
        <v>304</v>
      </c>
      <c r="B32" s="748"/>
      <c r="C32" s="748"/>
      <c r="D32" s="748"/>
      <c r="E32" s="748"/>
      <c r="F32" s="748"/>
      <c r="G32" s="748"/>
      <c r="H32" s="748"/>
      <c r="I32" s="748"/>
    </row>
    <row r="33" spans="1:9" s="10" customFormat="1" ht="21" customHeight="1">
      <c r="A33" s="745" t="s">
        <v>708</v>
      </c>
      <c r="B33" s="745"/>
      <c r="C33" s="745"/>
      <c r="D33" s="745"/>
      <c r="E33" s="745"/>
      <c r="F33" s="745"/>
      <c r="G33" s="745"/>
      <c r="H33" s="745"/>
      <c r="I33" s="745"/>
    </row>
    <row r="34" spans="1:9" s="10" customFormat="1" ht="21" customHeight="1">
      <c r="A34" s="745" t="s">
        <v>707</v>
      </c>
      <c r="B34" s="745"/>
      <c r="C34" s="745"/>
      <c r="D34" s="745"/>
      <c r="E34" s="745"/>
      <c r="F34" s="745"/>
      <c r="G34" s="745"/>
      <c r="H34" s="745"/>
      <c r="I34" s="745"/>
    </row>
    <row r="35" spans="1:9" s="10" customFormat="1" ht="21" customHeight="1">
      <c r="A35" s="745" t="s">
        <v>702</v>
      </c>
      <c r="B35" s="745"/>
      <c r="C35" s="745"/>
      <c r="D35" s="745"/>
      <c r="E35" s="745"/>
      <c r="F35" s="745"/>
      <c r="G35" s="745"/>
      <c r="H35" s="745"/>
      <c r="I35" s="745"/>
    </row>
    <row r="36" spans="1:9" s="10" customFormat="1" ht="21" customHeight="1">
      <c r="A36" s="745" t="s">
        <v>703</v>
      </c>
      <c r="B36" s="745"/>
      <c r="C36" s="745"/>
      <c r="D36" s="745"/>
      <c r="E36" s="745"/>
      <c r="F36" s="745"/>
      <c r="G36" s="745"/>
      <c r="H36" s="745"/>
      <c r="I36" s="745"/>
    </row>
    <row r="37" spans="1:9" s="10" customFormat="1">
      <c r="A37" s="745"/>
      <c r="B37" s="745"/>
      <c r="C37" s="745"/>
      <c r="D37" s="745"/>
      <c r="E37" s="745"/>
      <c r="F37" s="745"/>
      <c r="G37" s="745"/>
      <c r="H37" s="745"/>
      <c r="I37" s="745"/>
    </row>
    <row r="38" spans="1:9" s="10" customFormat="1" ht="14.25" customHeight="1">
      <c r="A38" s="748" t="s">
        <v>696</v>
      </c>
      <c r="B38" s="748"/>
      <c r="C38" s="748"/>
      <c r="D38" s="748"/>
      <c r="E38" s="748"/>
      <c r="F38" s="748"/>
      <c r="G38" s="748"/>
      <c r="H38" s="748"/>
      <c r="I38" s="748"/>
    </row>
    <row r="39" spans="1:9" s="10" customFormat="1" ht="14.25" customHeight="1">
      <c r="A39" s="748"/>
      <c r="B39" s="748"/>
      <c r="C39" s="748"/>
      <c r="D39" s="748"/>
      <c r="E39" s="748"/>
      <c r="F39" s="748"/>
      <c r="G39" s="748"/>
      <c r="H39" s="748"/>
      <c r="I39" s="748"/>
    </row>
    <row r="40" spans="1:9" s="10" customFormat="1" ht="14.25" customHeight="1">
      <c r="A40" s="748"/>
      <c r="B40" s="748"/>
      <c r="C40" s="748"/>
      <c r="D40" s="748"/>
      <c r="E40" s="748"/>
      <c r="F40" s="748"/>
      <c r="G40" s="748"/>
      <c r="H40" s="748"/>
      <c r="I40" s="748"/>
    </row>
    <row r="41" spans="1:9" s="10" customFormat="1" ht="14.25" customHeight="1">
      <c r="A41" s="748"/>
      <c r="B41" s="748"/>
      <c r="C41" s="748"/>
      <c r="D41" s="748"/>
      <c r="E41" s="748"/>
      <c r="F41" s="748"/>
      <c r="G41" s="748"/>
      <c r="H41" s="748"/>
      <c r="I41" s="748"/>
    </row>
    <row r="42" spans="1:9" s="10" customFormat="1" ht="87" customHeight="1">
      <c r="A42" s="748" t="s">
        <v>699</v>
      </c>
      <c r="B42" s="748"/>
      <c r="C42" s="748"/>
      <c r="D42" s="748"/>
      <c r="E42" s="748"/>
      <c r="F42" s="748"/>
      <c r="G42" s="748"/>
      <c r="H42" s="748"/>
      <c r="I42" s="748"/>
    </row>
    <row r="43" spans="1:9" s="10" customFormat="1" ht="51.75" customHeight="1">
      <c r="A43" s="748" t="s">
        <v>698</v>
      </c>
      <c r="B43" s="748"/>
      <c r="C43" s="748"/>
      <c r="D43" s="748"/>
      <c r="E43" s="748"/>
      <c r="F43" s="748"/>
      <c r="G43" s="748"/>
      <c r="H43" s="748"/>
      <c r="I43" s="748"/>
    </row>
    <row r="44" spans="1:9" s="10" customFormat="1">
      <c r="A44" s="750"/>
      <c r="B44" s="750"/>
      <c r="C44" s="750"/>
      <c r="D44" s="750"/>
      <c r="E44" s="750"/>
      <c r="F44" s="750"/>
      <c r="G44" s="750"/>
      <c r="H44" s="750"/>
      <c r="I44" s="750"/>
    </row>
    <row r="45" spans="1:9" s="10" customFormat="1" ht="90" customHeight="1">
      <c r="A45" s="749" t="s">
        <v>337</v>
      </c>
      <c r="B45" s="749"/>
      <c r="C45" s="749"/>
      <c r="D45" s="749"/>
      <c r="E45" s="749"/>
      <c r="F45" s="749"/>
      <c r="G45" s="749"/>
      <c r="H45" s="749"/>
      <c r="I45" s="749"/>
    </row>
    <row r="46" spans="1:9" s="10" customFormat="1">
      <c r="A46" s="11"/>
      <c r="B46" s="11"/>
      <c r="C46" s="11"/>
      <c r="D46" s="11"/>
      <c r="E46" s="11"/>
      <c r="F46" s="11"/>
      <c r="G46" s="11"/>
      <c r="H46" s="11"/>
    </row>
    <row r="47" spans="1:9" s="10" customFormat="1">
      <c r="A47" s="11"/>
      <c r="B47" s="11"/>
      <c r="C47" s="11"/>
      <c r="D47" s="11"/>
      <c r="E47" s="11"/>
      <c r="F47" s="11"/>
      <c r="G47" s="11"/>
      <c r="H47" s="11"/>
    </row>
    <row r="48" spans="1:9" s="10" customFormat="1">
      <c r="A48" s="11"/>
      <c r="B48" s="11"/>
      <c r="C48" s="11"/>
      <c r="D48" s="11"/>
      <c r="E48" s="11"/>
      <c r="F48" s="11"/>
      <c r="G48" s="11"/>
      <c r="H48" s="11"/>
    </row>
    <row r="49" spans="1:8" s="10" customFormat="1">
      <c r="A49" s="11"/>
      <c r="B49" s="11"/>
      <c r="C49" s="11"/>
      <c r="D49" s="11"/>
      <c r="E49" s="11"/>
      <c r="F49" s="11"/>
      <c r="G49" s="11"/>
      <c r="H49" s="11"/>
    </row>
    <row r="50" spans="1:8" s="10" customFormat="1">
      <c r="A50" s="11"/>
      <c r="B50" s="11"/>
      <c r="C50" s="11"/>
      <c r="D50" s="11"/>
      <c r="E50" s="11"/>
      <c r="F50" s="11"/>
      <c r="G50" s="11"/>
      <c r="H50" s="11"/>
    </row>
    <row r="51" spans="1:8" s="10" customFormat="1">
      <c r="A51" s="12"/>
      <c r="B51" s="12"/>
      <c r="C51" s="12"/>
      <c r="D51" s="12"/>
      <c r="E51" s="12"/>
      <c r="F51" s="304"/>
      <c r="G51" s="12"/>
      <c r="H51" s="304"/>
    </row>
  </sheetData>
  <mergeCells count="28">
    <mergeCell ref="A2:G2"/>
    <mergeCell ref="A22:G22"/>
    <mergeCell ref="A23:I23"/>
    <mergeCell ref="A25:I25"/>
    <mergeCell ref="A27:I27"/>
    <mergeCell ref="A4:A6"/>
    <mergeCell ref="B4:B5"/>
    <mergeCell ref="E4:E5"/>
    <mergeCell ref="C4:D4"/>
    <mergeCell ref="F4:G4"/>
    <mergeCell ref="H4:I4"/>
    <mergeCell ref="A36:I36"/>
    <mergeCell ref="A38:I41"/>
    <mergeCell ref="A37:I37"/>
    <mergeCell ref="A43:I43"/>
    <mergeCell ref="A45:I45"/>
    <mergeCell ref="A42:I42"/>
    <mergeCell ref="A44:I44"/>
    <mergeCell ref="A35:I35"/>
    <mergeCell ref="A30:I30"/>
    <mergeCell ref="A28:I28"/>
    <mergeCell ref="A26:I26"/>
    <mergeCell ref="A24:I24"/>
    <mergeCell ref="A34:I34"/>
    <mergeCell ref="A31:I31"/>
    <mergeCell ref="A32:I32"/>
    <mergeCell ref="A33:I33"/>
    <mergeCell ref="A29:I29"/>
  </mergeCells>
  <phoneticPr fontId="22" type="noConversion"/>
  <printOptions horizontalCentered="1" verticalCentered="1"/>
  <pageMargins left="0.35433070866141736" right="0.19685039370078741" top="0.19685039370078741" bottom="0.19685039370078741" header="0" footer="0"/>
  <pageSetup scale="87" fitToHeight="5" orientation="landscape" r:id="rId1"/>
  <headerFooter alignWithMargins="0"/>
  <ignoredErrors>
    <ignoredError sqref="F12:G12 G14:G21 G13 B14:E21 B12:E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G45"/>
  <sheetViews>
    <sheetView zoomScale="80" zoomScaleNormal="80" workbookViewId="0">
      <selection activeCell="A3" sqref="A3:D3"/>
    </sheetView>
  </sheetViews>
  <sheetFormatPr baseColWidth="10" defaultColWidth="9.85546875" defaultRowHeight="14.25"/>
  <cols>
    <col min="1" max="1" width="60.5703125" style="3" customWidth="1"/>
    <col min="2" max="2" width="22" style="3" customWidth="1"/>
    <col min="3" max="3" width="21" style="3" customWidth="1"/>
    <col min="4" max="4" width="20.28515625" style="3" customWidth="1"/>
    <col min="5" max="16384" width="9.85546875" style="7"/>
  </cols>
  <sheetData>
    <row r="1" spans="1:59" s="6" customFormat="1" ht="15" customHeight="1">
      <c r="A1" s="21"/>
      <c r="B1" s="21"/>
      <c r="C1" s="2"/>
      <c r="D1" s="22"/>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row>
    <row r="2" spans="1:59" s="57" customFormat="1" ht="27.75" customHeight="1">
      <c r="A2" s="766" t="str">
        <f>CONCATENATE("ESTRUCTURAS DE PRECIOS PARA GASOLINA MOTOR CORRIENTE OXIGENADA VIGENTES A PARTIR DE ",'COMBUSTIBLES '!$A$1)</f>
        <v>ESTRUCTURAS DE PRECIOS PARA GASOLINA MOTOR CORRIENTE OXIGENADA VIGENTES A PARTIR DE 01 DE SEPTIEMBRE 2020</v>
      </c>
      <c r="B2" s="767"/>
      <c r="C2" s="767"/>
      <c r="D2" s="767"/>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row>
    <row r="3" spans="1:59" s="57" customFormat="1" ht="27.75" customHeight="1">
      <c r="A3" s="768" t="s">
        <v>0</v>
      </c>
      <c r="B3" s="769"/>
      <c r="C3" s="769"/>
      <c r="D3" s="769"/>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row>
    <row r="4" spans="1:59" s="51" customFormat="1" ht="46.5" customHeight="1">
      <c r="A4" s="771" t="s">
        <v>1</v>
      </c>
      <c r="B4" s="770" t="s">
        <v>27</v>
      </c>
      <c r="C4" s="770" t="s">
        <v>629</v>
      </c>
      <c r="D4" s="449" t="s">
        <v>28</v>
      </c>
      <c r="E4" s="52"/>
      <c r="F4" s="58"/>
      <c r="G4" s="58"/>
      <c r="H4" s="58"/>
      <c r="I4" s="58"/>
      <c r="J4" s="58"/>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row>
    <row r="5" spans="1:59" s="51" customFormat="1" ht="19.5" customHeight="1">
      <c r="A5" s="756"/>
      <c r="B5" s="759"/>
      <c r="C5" s="759"/>
      <c r="D5" s="306">
        <v>0.1</v>
      </c>
      <c r="E5" s="52"/>
      <c r="F5" s="58"/>
      <c r="G5" s="58"/>
      <c r="H5" s="58"/>
      <c r="I5" s="58"/>
      <c r="J5" s="58"/>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row>
    <row r="6" spans="1:59" s="51" customFormat="1" ht="25.5" customHeight="1" thickBot="1">
      <c r="A6" s="757"/>
      <c r="B6" s="183" t="str">
        <f>+'COMBUSTIBLES '!B6</f>
        <v>01 DE SEPTIEMBRE 2020</v>
      </c>
      <c r="C6" s="182" t="str">
        <f>'COMBUSTIBLES '!B6</f>
        <v>01 DE SEPTIEMBRE 2020</v>
      </c>
      <c r="D6" s="182" t="str">
        <f>+C6</f>
        <v>01 DE SEPTIEMBRE 2020</v>
      </c>
      <c r="E6" s="52"/>
      <c r="F6" s="58"/>
      <c r="G6" s="58"/>
      <c r="H6" s="58"/>
      <c r="I6" s="58"/>
      <c r="J6" s="58"/>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row>
    <row r="7" spans="1:59" s="6" customFormat="1" ht="31.5" customHeight="1" thickTop="1">
      <c r="A7" s="82" t="s">
        <v>3</v>
      </c>
      <c r="B7" s="658">
        <v>8286.2999999999993</v>
      </c>
      <c r="C7" s="303">
        <f>+'COMBUSTIBLES '!B7</f>
        <v>4028</v>
      </c>
      <c r="D7" s="434"/>
      <c r="E7" s="7"/>
      <c r="F7" s="58"/>
      <c r="G7" s="58"/>
      <c r="H7" s="58"/>
      <c r="I7" s="58"/>
      <c r="J7" s="58"/>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row>
    <row r="8" spans="1:59" s="6" customFormat="1" ht="31.5" customHeight="1">
      <c r="A8" s="76" t="s">
        <v>183</v>
      </c>
      <c r="B8" s="176"/>
      <c r="C8" s="69"/>
      <c r="D8" s="322">
        <f>ROUND($C$7*(1-D5),2)</f>
        <v>3625.2</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row>
    <row r="9" spans="1:59" s="6" customFormat="1" ht="31.5" customHeight="1">
      <c r="A9" s="76" t="s">
        <v>182</v>
      </c>
      <c r="B9" s="176"/>
      <c r="C9" s="69"/>
      <c r="D9" s="322">
        <f>+ROUND(B7*D5,2)</f>
        <v>828.63</v>
      </c>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row>
    <row r="10" spans="1:59" s="6" customFormat="1" ht="31.5" customHeight="1">
      <c r="A10" s="76" t="s">
        <v>49</v>
      </c>
      <c r="B10" s="176"/>
      <c r="C10" s="69"/>
      <c r="D10" s="322">
        <f>D8+D9</f>
        <v>4453.83</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row>
    <row r="11" spans="1:59" s="6" customFormat="1" ht="31.5" customHeight="1">
      <c r="A11" s="76" t="str">
        <f>+'COMBUSTIBLES '!A11</f>
        <v>Impuesto Nacional a la Gasolina y al ACPM</v>
      </c>
      <c r="B11" s="176"/>
      <c r="C11" s="123">
        <f>+Variables!C21</f>
        <v>546.26</v>
      </c>
      <c r="D11" s="322">
        <f>+C11*(1-D5)</f>
        <v>491.63400000000001</v>
      </c>
      <c r="E11" s="7"/>
      <c r="F11" s="7"/>
      <c r="G11" s="7"/>
      <c r="H11" s="7"/>
      <c r="I11" s="7"/>
      <c r="J11" s="7"/>
      <c r="K11" s="7"/>
      <c r="L11" s="7"/>
      <c r="M11" s="7"/>
      <c r="N11" s="7" t="s">
        <v>655</v>
      </c>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row>
    <row r="12" spans="1:59" s="6" customFormat="1" ht="31.5" customHeight="1">
      <c r="A12" s="76" t="str">
        <f>+'COMBUSTIBLES '!A12</f>
        <v>Impuesto sobre las Ventas</v>
      </c>
      <c r="B12" s="176"/>
      <c r="C12" s="472" t="str">
        <f>+'COMBUSTIBLES '!C12</f>
        <v>(3)</v>
      </c>
      <c r="D12" s="322" t="str">
        <f>+C12</f>
        <v>(3)</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row>
    <row r="13" spans="1:59" s="6" customFormat="1" ht="31.5" customHeight="1">
      <c r="A13" s="76" t="str">
        <f>+'COMBUSTIBLES '!A13</f>
        <v>Impuesto al carbono</v>
      </c>
      <c r="B13" s="176"/>
      <c r="C13" s="123">
        <f>Variables!C46</f>
        <v>155</v>
      </c>
      <c r="D13" s="322">
        <f>ROUND(C13*(1-D5),2)</f>
        <v>139.5</v>
      </c>
      <c r="E13" s="7"/>
      <c r="F13" s="7" t="s">
        <v>159</v>
      </c>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row>
    <row r="14" spans="1:59" s="6" customFormat="1" ht="31.5" customHeight="1">
      <c r="A14" s="76" t="s">
        <v>56</v>
      </c>
      <c r="B14" s="176"/>
      <c r="C14" s="123">
        <f>'COMBUSTIBLES '!B8</f>
        <v>8.1370000000000005</v>
      </c>
      <c r="D14" s="322">
        <f>+C14</f>
        <v>8.1370000000000005</v>
      </c>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row>
    <row r="15" spans="1:59" s="6" customFormat="1" ht="31.5" customHeight="1">
      <c r="A15" s="76" t="s">
        <v>184</v>
      </c>
      <c r="B15" s="176"/>
      <c r="C15" s="69"/>
      <c r="D15" s="447" t="s">
        <v>11</v>
      </c>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row>
    <row r="16" spans="1:59" s="6" customFormat="1" ht="31.5" customHeight="1">
      <c r="A16" s="76" t="s">
        <v>185</v>
      </c>
      <c r="B16" s="176"/>
      <c r="C16" s="78"/>
      <c r="D16" s="447" t="s">
        <v>12</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row>
    <row r="17" spans="1:59" s="6" customFormat="1" ht="31.5" customHeight="1">
      <c r="A17" s="76" t="s">
        <v>222</v>
      </c>
      <c r="B17" s="176"/>
      <c r="C17" s="69">
        <f>'COMBUSTIBLES '!B10</f>
        <v>71.510000000000005</v>
      </c>
      <c r="D17" s="447">
        <f>+C17</f>
        <v>71.510000000000005</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row>
    <row r="18" spans="1:59" s="6" customFormat="1" ht="31.5" customHeight="1">
      <c r="A18" s="76" t="s">
        <v>50</v>
      </c>
      <c r="B18" s="176"/>
      <c r="C18" s="69" t="s">
        <v>22</v>
      </c>
      <c r="D18" s="447" t="s">
        <v>22</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row>
    <row r="19" spans="1:59" s="6" customFormat="1" ht="31.5" customHeight="1">
      <c r="A19" s="76" t="s">
        <v>8</v>
      </c>
      <c r="B19" s="176"/>
      <c r="C19" s="69">
        <f>+ROUND('COMBUSTIBLES '!B16,2)</f>
        <v>1269.69</v>
      </c>
      <c r="D19" s="447">
        <f>+ROUND(C19*(1-D5),2)</f>
        <v>1142.72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row>
    <row r="20" spans="1:59" s="6" customFormat="1" ht="31.5" customHeight="1">
      <c r="A20" s="76" t="s">
        <v>47</v>
      </c>
      <c r="B20" s="176"/>
      <c r="C20" s="123" t="s">
        <v>159</v>
      </c>
      <c r="D20" s="447" t="s">
        <v>225</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row>
    <row r="21" spans="1:59" s="6" customFormat="1" ht="31.5" customHeight="1">
      <c r="A21" s="76" t="s">
        <v>62</v>
      </c>
      <c r="B21" s="176"/>
      <c r="C21" s="69" t="s">
        <v>159</v>
      </c>
      <c r="D21" s="447" t="s">
        <v>22</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row>
    <row r="22" spans="1:59" s="6" customFormat="1" ht="31.5" customHeight="1">
      <c r="A22" s="76" t="s">
        <v>48</v>
      </c>
      <c r="B22" s="176"/>
      <c r="C22" s="67" t="s">
        <v>159</v>
      </c>
      <c r="D22" s="447" t="str">
        <f>+D20</f>
        <v>(****)</v>
      </c>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row>
    <row r="23" spans="1:59" s="6" customFormat="1" ht="31.5" customHeight="1">
      <c r="A23" s="76" t="s">
        <v>60</v>
      </c>
      <c r="B23" s="176"/>
      <c r="C23" s="69" t="s">
        <v>159</v>
      </c>
      <c r="D23" s="447" t="s">
        <v>59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row>
    <row r="24" spans="1:59" s="6" customFormat="1" ht="31.5" customHeight="1">
      <c r="A24" s="76" t="s">
        <v>229</v>
      </c>
      <c r="B24" s="176"/>
      <c r="C24" s="69" t="s">
        <v>159</v>
      </c>
      <c r="D24" s="447" t="str">
        <f>+D22</f>
        <v>(****)</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row>
    <row r="25" spans="1:59" s="6" customFormat="1" ht="31.5" customHeight="1" thickBot="1">
      <c r="A25" s="79" t="s">
        <v>61</v>
      </c>
      <c r="B25" s="177"/>
      <c r="C25" s="80" t="s">
        <v>159</v>
      </c>
      <c r="D25" s="448" t="s">
        <v>22</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row>
    <row r="26" spans="1:59" s="6" customFormat="1" ht="14.25" customHeight="1" thickTop="1">
      <c r="A26" s="7"/>
      <c r="B26" s="7"/>
      <c r="C26" s="14"/>
      <c r="D26" s="23"/>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row>
    <row r="27" spans="1:59" s="326" customFormat="1" ht="35.25" customHeight="1">
      <c r="A27" s="772" t="s">
        <v>255</v>
      </c>
      <c r="B27" s="772"/>
      <c r="C27" s="772"/>
      <c r="D27" s="772"/>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5"/>
      <c r="AS27" s="325"/>
      <c r="AT27" s="325"/>
      <c r="AU27" s="325"/>
      <c r="AV27" s="325"/>
      <c r="AW27" s="325"/>
      <c r="AX27" s="325"/>
      <c r="AY27" s="325"/>
      <c r="AZ27" s="325"/>
      <c r="BA27" s="325"/>
      <c r="BB27" s="325"/>
      <c r="BC27" s="325"/>
      <c r="BD27" s="325"/>
      <c r="BE27" s="325"/>
      <c r="BF27" s="325"/>
      <c r="BG27" s="325"/>
    </row>
    <row r="28" spans="1:59" s="325" customFormat="1" ht="8.25" customHeight="1">
      <c r="A28" s="327"/>
      <c r="B28" s="327"/>
      <c r="C28" s="327"/>
      <c r="D28" s="327"/>
    </row>
    <row r="29" spans="1:59" s="325" customFormat="1" ht="48" customHeight="1">
      <c r="A29" s="773" t="s">
        <v>256</v>
      </c>
      <c r="B29" s="773"/>
      <c r="C29" s="773"/>
      <c r="D29" s="773"/>
    </row>
    <row r="30" spans="1:59" s="325" customFormat="1" ht="12.75">
      <c r="A30" s="328"/>
      <c r="B30" s="328"/>
      <c r="C30" s="329"/>
      <c r="D30" s="329"/>
    </row>
    <row r="31" spans="1:59" s="325" customFormat="1" ht="35.25" customHeight="1">
      <c r="A31" s="773" t="s">
        <v>226</v>
      </c>
      <c r="B31" s="773"/>
      <c r="C31" s="773"/>
      <c r="D31" s="773"/>
    </row>
    <row r="32" spans="1:59" s="325" customFormat="1" ht="12.75">
      <c r="A32" s="328"/>
      <c r="B32" s="328"/>
      <c r="C32" s="329"/>
      <c r="D32" s="329"/>
    </row>
    <row r="33" spans="1:6" s="365" customFormat="1" ht="36.75" customHeight="1">
      <c r="A33" s="774" t="s">
        <v>227</v>
      </c>
      <c r="B33" s="774"/>
      <c r="C33" s="774"/>
      <c r="D33" s="774"/>
    </row>
    <row r="34" spans="1:6" s="325" customFormat="1" ht="9" customHeight="1">
      <c r="A34" s="328"/>
      <c r="B34" s="328"/>
      <c r="C34" s="329"/>
      <c r="D34" s="329"/>
    </row>
    <row r="35" spans="1:6" s="325" customFormat="1" ht="12.75">
      <c r="A35" s="773" t="s">
        <v>228</v>
      </c>
      <c r="B35" s="773"/>
      <c r="C35" s="773"/>
      <c r="D35" s="773"/>
    </row>
    <row r="36" spans="1:6" s="325" customFormat="1" ht="10.5" customHeight="1">
      <c r="A36" s="330"/>
      <c r="B36" s="330"/>
      <c r="C36" s="330"/>
      <c r="D36" s="330"/>
    </row>
    <row r="37" spans="1:6" s="325" customFormat="1" ht="30.75" customHeight="1">
      <c r="A37" s="748" t="s">
        <v>297</v>
      </c>
      <c r="B37" s="748"/>
      <c r="C37" s="748"/>
      <c r="D37" s="748"/>
    </row>
    <row r="38" spans="1:6" s="325" customFormat="1" ht="6" customHeight="1">
      <c r="A38" s="549"/>
      <c r="B38" s="549"/>
      <c r="C38" s="549"/>
      <c r="D38" s="549"/>
    </row>
    <row r="39" spans="1:6" s="325" customFormat="1" ht="12.75" customHeight="1">
      <c r="A39" s="765" t="s">
        <v>643</v>
      </c>
      <c r="B39" s="765"/>
      <c r="C39" s="765"/>
      <c r="D39" s="765"/>
      <c r="E39" s="324"/>
      <c r="F39" s="324"/>
    </row>
    <row r="40" spans="1:6" s="325" customFormat="1" ht="12.75">
      <c r="A40" s="765"/>
      <c r="B40" s="765"/>
      <c r="C40" s="765"/>
      <c r="D40" s="765"/>
      <c r="E40" s="324"/>
      <c r="F40" s="324"/>
    </row>
    <row r="41" spans="1:6">
      <c r="A41" s="765"/>
      <c r="B41" s="765"/>
      <c r="C41" s="765"/>
      <c r="D41" s="765"/>
      <c r="E41" s="324"/>
      <c r="F41" s="324"/>
    </row>
    <row r="42" spans="1:6">
      <c r="A42" s="765"/>
      <c r="B42" s="765"/>
      <c r="C42" s="765"/>
      <c r="D42" s="765"/>
      <c r="E42" s="324"/>
      <c r="F42" s="324"/>
    </row>
    <row r="43" spans="1:6">
      <c r="A43" s="765"/>
      <c r="B43" s="765"/>
      <c r="C43" s="765"/>
      <c r="D43" s="765"/>
      <c r="E43" s="585"/>
      <c r="F43" s="548"/>
    </row>
    <row r="44" spans="1:6">
      <c r="A44" s="548"/>
      <c r="B44" s="548"/>
      <c r="C44" s="548"/>
      <c r="D44" s="548"/>
      <c r="E44" s="585"/>
      <c r="F44" s="548"/>
    </row>
    <row r="45" spans="1:6" ht="98.25" customHeight="1">
      <c r="A45" s="749" t="s">
        <v>337</v>
      </c>
      <c r="B45" s="749"/>
      <c r="C45" s="749"/>
      <c r="D45" s="749"/>
    </row>
  </sheetData>
  <mergeCells count="13">
    <mergeCell ref="A39:D43"/>
    <mergeCell ref="A37:D37"/>
    <mergeCell ref="A2:D2"/>
    <mergeCell ref="A3:D3"/>
    <mergeCell ref="A45:D45"/>
    <mergeCell ref="B4:B5"/>
    <mergeCell ref="A4:A6"/>
    <mergeCell ref="C4:C5"/>
    <mergeCell ref="A27:D27"/>
    <mergeCell ref="A29:D29"/>
    <mergeCell ref="A31:D31"/>
    <mergeCell ref="A33:D33"/>
    <mergeCell ref="A35:D35"/>
  </mergeCells>
  <phoneticPr fontId="22" type="noConversion"/>
  <printOptions horizontalCentered="1" verticalCentered="1"/>
  <pageMargins left="0.19685039370078741" right="0.19685039370078741" top="0.19685039370078741" bottom="0.19685039370078741" header="0" footer="0"/>
  <pageSetup scale="82"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sheetPr>
  <dimension ref="A2:P35"/>
  <sheetViews>
    <sheetView workbookViewId="0"/>
  </sheetViews>
  <sheetFormatPr baseColWidth="10" defaultRowHeight="12.75"/>
  <cols>
    <col min="1" max="1" width="48" customWidth="1"/>
    <col min="2" max="16" width="17.7109375" customWidth="1"/>
  </cols>
  <sheetData>
    <row r="2" spans="1:16" ht="14.25">
      <c r="A2" s="411" t="s">
        <v>316</v>
      </c>
    </row>
    <row r="3" spans="1:16" ht="13.5" thickBot="1"/>
    <row r="4" spans="1:16" ht="15.75" customHeight="1" thickTop="1">
      <c r="A4" s="775" t="s">
        <v>305</v>
      </c>
      <c r="B4" s="776"/>
      <c r="C4" s="776"/>
      <c r="D4" s="776"/>
      <c r="E4" s="776"/>
      <c r="F4" s="776"/>
      <c r="G4" s="776"/>
      <c r="H4" s="776"/>
      <c r="I4" s="776"/>
      <c r="J4" s="776"/>
      <c r="K4" s="776"/>
      <c r="L4" s="776"/>
      <c r="M4" s="776"/>
      <c r="N4" s="776"/>
      <c r="O4" s="776"/>
      <c r="P4" s="777"/>
    </row>
    <row r="5" spans="1:16" ht="18" customHeight="1">
      <c r="A5" s="778"/>
      <c r="B5" s="779"/>
      <c r="C5" s="779"/>
      <c r="D5" s="779"/>
      <c r="E5" s="779"/>
      <c r="F5" s="779"/>
      <c r="G5" s="779"/>
      <c r="H5" s="779"/>
      <c r="I5" s="779"/>
      <c r="J5" s="779"/>
      <c r="K5" s="779"/>
      <c r="L5" s="779"/>
      <c r="M5" s="779"/>
      <c r="N5" s="779"/>
      <c r="O5" s="779"/>
      <c r="P5" s="780"/>
    </row>
    <row r="6" spans="1:16" ht="51" customHeight="1">
      <c r="A6" s="410" t="s">
        <v>1</v>
      </c>
      <c r="B6" s="437" t="s">
        <v>307</v>
      </c>
      <c r="C6" s="437" t="s">
        <v>306</v>
      </c>
      <c r="D6" s="409" t="s">
        <v>283</v>
      </c>
      <c r="E6" s="437" t="s">
        <v>308</v>
      </c>
      <c r="F6" s="409" t="s">
        <v>284</v>
      </c>
      <c r="G6" s="409" t="s">
        <v>285</v>
      </c>
      <c r="H6" s="409" t="s">
        <v>286</v>
      </c>
      <c r="I6" s="437" t="s">
        <v>309</v>
      </c>
      <c r="J6" s="409" t="s">
        <v>287</v>
      </c>
      <c r="K6" s="409" t="s">
        <v>288</v>
      </c>
      <c r="L6" s="409" t="s">
        <v>310</v>
      </c>
      <c r="M6" s="409" t="s">
        <v>311</v>
      </c>
      <c r="N6" s="441" t="s">
        <v>289</v>
      </c>
      <c r="O6" s="441" t="s">
        <v>312</v>
      </c>
      <c r="P6" s="412" t="s">
        <v>313</v>
      </c>
    </row>
    <row r="7" spans="1:16" ht="21.75" customHeight="1">
      <c r="A7" s="82" t="s">
        <v>3</v>
      </c>
      <c r="B7" s="413">
        <v>4898.18</v>
      </c>
      <c r="C7" s="413">
        <v>4880.5</v>
      </c>
      <c r="D7" s="413">
        <v>4973.8500000000004</v>
      </c>
      <c r="E7" s="413">
        <v>4979.33</v>
      </c>
      <c r="F7" s="413">
        <v>4938.42</v>
      </c>
      <c r="G7" s="413">
        <v>4897.41</v>
      </c>
      <c r="H7" s="413">
        <v>4864.58</v>
      </c>
      <c r="I7" s="413">
        <v>4880.16</v>
      </c>
      <c r="J7" s="413">
        <v>4881.16</v>
      </c>
      <c r="K7" s="413">
        <v>4882.17</v>
      </c>
      <c r="L7" s="413">
        <v>4888.16</v>
      </c>
      <c r="M7" s="413">
        <v>4908.13</v>
      </c>
      <c r="N7" s="442">
        <v>4896.76</v>
      </c>
      <c r="O7" s="442">
        <v>4888.46</v>
      </c>
      <c r="P7" s="414">
        <v>4888.46</v>
      </c>
    </row>
    <row r="8" spans="1:16" ht="17.25" customHeight="1">
      <c r="A8" s="76" t="str">
        <f>+'COMBUSTIBLES '!A11</f>
        <v>Impuesto Nacional a la Gasolina y al ACPM</v>
      </c>
      <c r="B8" s="417">
        <f>+'COMBUSTIBLES '!B11</f>
        <v>546.26</v>
      </c>
      <c r="C8" s="417">
        <f>+B8</f>
        <v>546.26</v>
      </c>
      <c r="D8" s="417">
        <f>+B8</f>
        <v>546.26</v>
      </c>
      <c r="E8" s="417">
        <f t="shared" ref="E8:O8" si="0">+C8</f>
        <v>546.26</v>
      </c>
      <c r="F8" s="417">
        <f t="shared" si="0"/>
        <v>546.26</v>
      </c>
      <c r="G8" s="417">
        <f t="shared" si="0"/>
        <v>546.26</v>
      </c>
      <c r="H8" s="417">
        <f t="shared" si="0"/>
        <v>546.26</v>
      </c>
      <c r="I8" s="417">
        <f t="shared" si="0"/>
        <v>546.26</v>
      </c>
      <c r="J8" s="417">
        <f t="shared" si="0"/>
        <v>546.26</v>
      </c>
      <c r="K8" s="417">
        <f t="shared" si="0"/>
        <v>546.26</v>
      </c>
      <c r="L8" s="417">
        <f t="shared" si="0"/>
        <v>546.26</v>
      </c>
      <c r="M8" s="417">
        <f t="shared" si="0"/>
        <v>546.26</v>
      </c>
      <c r="N8" s="417">
        <f t="shared" si="0"/>
        <v>546.26</v>
      </c>
      <c r="O8" s="417">
        <f t="shared" si="0"/>
        <v>546.26</v>
      </c>
      <c r="P8" s="418">
        <f>+M8</f>
        <v>546.26</v>
      </c>
    </row>
    <row r="9" spans="1:16" ht="19.5" customHeight="1">
      <c r="A9" s="76" t="s">
        <v>56</v>
      </c>
      <c r="B9" s="417">
        <v>5.56</v>
      </c>
      <c r="C9" s="417">
        <f t="shared" ref="C9:C18" si="1">+B9</f>
        <v>5.56</v>
      </c>
      <c r="D9" s="417">
        <v>5.56</v>
      </c>
      <c r="E9" s="417">
        <v>5.56</v>
      </c>
      <c r="F9" s="417">
        <v>5.56</v>
      </c>
      <c r="G9" s="417">
        <v>5.56</v>
      </c>
      <c r="H9" s="417">
        <v>5.56</v>
      </c>
      <c r="I9" s="417">
        <v>5.56</v>
      </c>
      <c r="J9" s="417">
        <v>5.56</v>
      </c>
      <c r="K9" s="417">
        <v>5.56</v>
      </c>
      <c r="L9" s="417">
        <v>5.56</v>
      </c>
      <c r="M9" s="417">
        <v>5.56</v>
      </c>
      <c r="N9" s="417">
        <v>5.56</v>
      </c>
      <c r="O9" s="417">
        <v>5.56</v>
      </c>
      <c r="P9" s="418">
        <v>5.56</v>
      </c>
    </row>
    <row r="10" spans="1:16" ht="19.5" customHeight="1">
      <c r="A10" s="76" t="s">
        <v>282</v>
      </c>
      <c r="B10" s="417" t="str">
        <f>+'COMBUSTIBLES '!B9</f>
        <v>(*)</v>
      </c>
      <c r="C10" s="417" t="str">
        <f t="shared" si="1"/>
        <v>(*)</v>
      </c>
      <c r="D10" s="417" t="str">
        <f>+C10</f>
        <v>(*)</v>
      </c>
      <c r="E10" s="417" t="str">
        <f t="shared" ref="E10:O10" si="2">+D10</f>
        <v>(*)</v>
      </c>
      <c r="F10" s="417" t="str">
        <f t="shared" si="2"/>
        <v>(*)</v>
      </c>
      <c r="G10" s="417" t="str">
        <f t="shared" si="2"/>
        <v>(*)</v>
      </c>
      <c r="H10" s="417" t="str">
        <f t="shared" si="2"/>
        <v>(*)</v>
      </c>
      <c r="I10" s="417" t="str">
        <f t="shared" si="2"/>
        <v>(*)</v>
      </c>
      <c r="J10" s="417" t="str">
        <f t="shared" si="2"/>
        <v>(*)</v>
      </c>
      <c r="K10" s="417" t="str">
        <f t="shared" si="2"/>
        <v>(*)</v>
      </c>
      <c r="L10" s="417" t="str">
        <f t="shared" si="2"/>
        <v>(*)</v>
      </c>
      <c r="M10" s="417" t="str">
        <f t="shared" si="2"/>
        <v>(*)</v>
      </c>
      <c r="N10" s="417" t="str">
        <f t="shared" si="2"/>
        <v>(*)</v>
      </c>
      <c r="O10" s="417" t="str">
        <f t="shared" si="2"/>
        <v>(*)</v>
      </c>
      <c r="P10" s="418" t="str">
        <f>+O10</f>
        <v>(*)</v>
      </c>
    </row>
    <row r="11" spans="1:16" ht="19.5" customHeight="1">
      <c r="A11" s="76" t="s">
        <v>281</v>
      </c>
      <c r="B11" s="417">
        <f>'COMBUSTIBLES '!B10</f>
        <v>71.510000000000005</v>
      </c>
      <c r="C11" s="417">
        <f t="shared" si="1"/>
        <v>71.510000000000005</v>
      </c>
      <c r="D11" s="417">
        <f>+B11</f>
        <v>71.510000000000005</v>
      </c>
      <c r="E11" s="417">
        <f t="shared" ref="E11:O11" si="3">+C11</f>
        <v>71.510000000000005</v>
      </c>
      <c r="F11" s="417">
        <f t="shared" si="3"/>
        <v>71.510000000000005</v>
      </c>
      <c r="G11" s="417">
        <f t="shared" si="3"/>
        <v>71.510000000000005</v>
      </c>
      <c r="H11" s="417">
        <f t="shared" si="3"/>
        <v>71.510000000000005</v>
      </c>
      <c r="I11" s="417">
        <f t="shared" si="3"/>
        <v>71.510000000000005</v>
      </c>
      <c r="J11" s="417">
        <f t="shared" si="3"/>
        <v>71.510000000000005</v>
      </c>
      <c r="K11" s="417">
        <f t="shared" si="3"/>
        <v>71.510000000000005</v>
      </c>
      <c r="L11" s="417">
        <f t="shared" si="3"/>
        <v>71.510000000000005</v>
      </c>
      <c r="M11" s="417">
        <f t="shared" si="3"/>
        <v>71.510000000000005</v>
      </c>
      <c r="N11" s="417">
        <f t="shared" si="3"/>
        <v>71.510000000000005</v>
      </c>
      <c r="O11" s="417">
        <f t="shared" si="3"/>
        <v>71.510000000000005</v>
      </c>
      <c r="P11" s="418">
        <f>+M11</f>
        <v>71.510000000000005</v>
      </c>
    </row>
    <row r="12" spans="1:16" ht="30">
      <c r="A12" s="76" t="s">
        <v>50</v>
      </c>
      <c r="B12" s="417" t="str">
        <f>+'COMBUSTIBLES '!B14</f>
        <v>(**)</v>
      </c>
      <c r="C12" s="417" t="str">
        <f>+B12</f>
        <v>(**)</v>
      </c>
      <c r="D12" s="417" t="str">
        <f>+C12</f>
        <v>(**)</v>
      </c>
      <c r="E12" s="417" t="str">
        <f t="shared" ref="E12:O12" si="4">+D12</f>
        <v>(**)</v>
      </c>
      <c r="F12" s="417" t="str">
        <f t="shared" si="4"/>
        <v>(**)</v>
      </c>
      <c r="G12" s="417" t="str">
        <f t="shared" si="4"/>
        <v>(**)</v>
      </c>
      <c r="H12" s="417" t="str">
        <f t="shared" si="4"/>
        <v>(**)</v>
      </c>
      <c r="I12" s="417" t="str">
        <f t="shared" si="4"/>
        <v>(**)</v>
      </c>
      <c r="J12" s="417" t="str">
        <f t="shared" si="4"/>
        <v>(**)</v>
      </c>
      <c r="K12" s="417" t="str">
        <f t="shared" si="4"/>
        <v>(**)</v>
      </c>
      <c r="L12" s="417" t="str">
        <f t="shared" si="4"/>
        <v>(**)</v>
      </c>
      <c r="M12" s="417" t="str">
        <f t="shared" si="4"/>
        <v>(**)</v>
      </c>
      <c r="N12" s="417" t="str">
        <f t="shared" si="4"/>
        <v>(**)</v>
      </c>
      <c r="O12" s="417" t="str">
        <f t="shared" si="4"/>
        <v>(**)</v>
      </c>
      <c r="P12" s="418" t="str">
        <f>+O12</f>
        <v>(**)</v>
      </c>
    </row>
    <row r="13" spans="1:16" ht="19.5" customHeight="1">
      <c r="A13" s="76" t="s">
        <v>8</v>
      </c>
      <c r="B13" s="417">
        <f>+ROUND('COMBUSTIBLES '!B16,2)</f>
        <v>1269.69</v>
      </c>
      <c r="C13" s="417">
        <f t="shared" si="1"/>
        <v>1269.69</v>
      </c>
      <c r="D13" s="417">
        <f>+B13</f>
        <v>1269.69</v>
      </c>
      <c r="E13" s="417">
        <f t="shared" ref="E13:O13" si="5">+C13</f>
        <v>1269.69</v>
      </c>
      <c r="F13" s="417">
        <f t="shared" si="5"/>
        <v>1269.69</v>
      </c>
      <c r="G13" s="417">
        <f t="shared" si="5"/>
        <v>1269.69</v>
      </c>
      <c r="H13" s="417">
        <f t="shared" si="5"/>
        <v>1269.69</v>
      </c>
      <c r="I13" s="417">
        <f t="shared" si="5"/>
        <v>1269.69</v>
      </c>
      <c r="J13" s="417">
        <f t="shared" si="5"/>
        <v>1269.69</v>
      </c>
      <c r="K13" s="417">
        <f t="shared" si="5"/>
        <v>1269.69</v>
      </c>
      <c r="L13" s="417">
        <f t="shared" si="5"/>
        <v>1269.69</v>
      </c>
      <c r="M13" s="417">
        <f t="shared" si="5"/>
        <v>1269.69</v>
      </c>
      <c r="N13" s="417">
        <f t="shared" si="5"/>
        <v>1269.69</v>
      </c>
      <c r="O13" s="417">
        <f t="shared" si="5"/>
        <v>1269.69</v>
      </c>
      <c r="P13" s="418">
        <f>+M13</f>
        <v>1269.69</v>
      </c>
    </row>
    <row r="14" spans="1:16" ht="22.5" customHeight="1">
      <c r="A14" s="76" t="s">
        <v>47</v>
      </c>
      <c r="B14" s="417" t="str">
        <f>+'COMBUSTIBLES '!B15</f>
        <v>(***)</v>
      </c>
      <c r="C14" s="417" t="str">
        <f t="shared" si="1"/>
        <v>(***)</v>
      </c>
      <c r="D14" s="417" t="str">
        <f t="shared" ref="D14:D19" si="6">+C14</f>
        <v>(***)</v>
      </c>
      <c r="E14" s="417" t="str">
        <f t="shared" ref="E14:O14" si="7">+D14</f>
        <v>(***)</v>
      </c>
      <c r="F14" s="417" t="str">
        <f t="shared" si="7"/>
        <v>(***)</v>
      </c>
      <c r="G14" s="417" t="str">
        <f t="shared" si="7"/>
        <v>(***)</v>
      </c>
      <c r="H14" s="417" t="str">
        <f t="shared" si="7"/>
        <v>(***)</v>
      </c>
      <c r="I14" s="417" t="str">
        <f t="shared" si="7"/>
        <v>(***)</v>
      </c>
      <c r="J14" s="417" t="str">
        <f t="shared" si="7"/>
        <v>(***)</v>
      </c>
      <c r="K14" s="417" t="str">
        <f t="shared" si="7"/>
        <v>(***)</v>
      </c>
      <c r="L14" s="417" t="str">
        <f t="shared" si="7"/>
        <v>(***)</v>
      </c>
      <c r="M14" s="417" t="str">
        <f t="shared" si="7"/>
        <v>(***)</v>
      </c>
      <c r="N14" s="417" t="str">
        <f t="shared" si="7"/>
        <v>(***)</v>
      </c>
      <c r="O14" s="417" t="str">
        <f t="shared" si="7"/>
        <v>(***)</v>
      </c>
      <c r="P14" s="418" t="str">
        <f t="shared" ref="P14:P19" si="8">+O14</f>
        <v>(***)</v>
      </c>
    </row>
    <row r="15" spans="1:16" ht="30">
      <c r="A15" s="76" t="s">
        <v>62</v>
      </c>
      <c r="B15" s="417" t="str">
        <f>+'COMBUSTIBLES '!B17</f>
        <v>(**)</v>
      </c>
      <c r="C15" s="417" t="str">
        <f>+B15</f>
        <v>(**)</v>
      </c>
      <c r="D15" s="417" t="str">
        <f t="shared" si="6"/>
        <v>(**)</v>
      </c>
      <c r="E15" s="417" t="str">
        <f t="shared" ref="E15:O15" si="9">+D15</f>
        <v>(**)</v>
      </c>
      <c r="F15" s="417" t="str">
        <f t="shared" si="9"/>
        <v>(**)</v>
      </c>
      <c r="G15" s="417" t="str">
        <f t="shared" si="9"/>
        <v>(**)</v>
      </c>
      <c r="H15" s="417" t="str">
        <f t="shared" si="9"/>
        <v>(**)</v>
      </c>
      <c r="I15" s="417" t="str">
        <f t="shared" si="9"/>
        <v>(**)</v>
      </c>
      <c r="J15" s="417" t="str">
        <f t="shared" si="9"/>
        <v>(**)</v>
      </c>
      <c r="K15" s="417" t="str">
        <f t="shared" si="9"/>
        <v>(**)</v>
      </c>
      <c r="L15" s="417" t="str">
        <f t="shared" si="9"/>
        <v>(**)</v>
      </c>
      <c r="M15" s="417" t="str">
        <f t="shared" si="9"/>
        <v>(**)</v>
      </c>
      <c r="N15" s="417" t="str">
        <f t="shared" si="9"/>
        <v>(**)</v>
      </c>
      <c r="O15" s="417" t="str">
        <f t="shared" si="9"/>
        <v>(**)</v>
      </c>
      <c r="P15" s="418" t="str">
        <f t="shared" si="8"/>
        <v>(**)</v>
      </c>
    </row>
    <row r="16" spans="1:16" ht="18.75" customHeight="1">
      <c r="A16" s="76" t="s">
        <v>48</v>
      </c>
      <c r="B16" s="417" t="str">
        <f>+'COMBUSTIBLES '!B18</f>
        <v>(***)</v>
      </c>
      <c r="C16" s="417" t="str">
        <f t="shared" si="1"/>
        <v>(***)</v>
      </c>
      <c r="D16" s="443" t="str">
        <f t="shared" si="6"/>
        <v>(***)</v>
      </c>
      <c r="E16" s="443" t="str">
        <f t="shared" ref="E16:O16" si="10">+D16</f>
        <v>(***)</v>
      </c>
      <c r="F16" s="443" t="str">
        <f t="shared" si="10"/>
        <v>(***)</v>
      </c>
      <c r="G16" s="443" t="str">
        <f t="shared" si="10"/>
        <v>(***)</v>
      </c>
      <c r="H16" s="443" t="str">
        <f t="shared" si="10"/>
        <v>(***)</v>
      </c>
      <c r="I16" s="443" t="str">
        <f t="shared" si="10"/>
        <v>(***)</v>
      </c>
      <c r="J16" s="443" t="str">
        <f t="shared" si="10"/>
        <v>(***)</v>
      </c>
      <c r="K16" s="443" t="str">
        <f t="shared" si="10"/>
        <v>(***)</v>
      </c>
      <c r="L16" s="443" t="str">
        <f t="shared" si="10"/>
        <v>(***)</v>
      </c>
      <c r="M16" s="443" t="str">
        <f t="shared" si="10"/>
        <v>(***)</v>
      </c>
      <c r="N16" s="443" t="str">
        <f t="shared" si="10"/>
        <v>(***)</v>
      </c>
      <c r="O16" s="443" t="str">
        <f t="shared" si="10"/>
        <v>(***)</v>
      </c>
      <c r="P16" s="444" t="str">
        <f t="shared" si="8"/>
        <v>(***)</v>
      </c>
    </row>
    <row r="17" spans="1:16" ht="18.75" customHeight="1">
      <c r="A17" s="76" t="s">
        <v>60</v>
      </c>
      <c r="B17" s="417" t="str">
        <f>+'COMBUSTIBLES '!B19</f>
        <v>(****)</v>
      </c>
      <c r="C17" s="417" t="str">
        <f t="shared" si="1"/>
        <v>(****)</v>
      </c>
      <c r="D17" s="417" t="str">
        <f t="shared" si="6"/>
        <v>(****)</v>
      </c>
      <c r="E17" s="417" t="str">
        <f t="shared" ref="E17:O17" si="11">+D17</f>
        <v>(****)</v>
      </c>
      <c r="F17" s="417" t="str">
        <f t="shared" si="11"/>
        <v>(****)</v>
      </c>
      <c r="G17" s="417" t="str">
        <f t="shared" si="11"/>
        <v>(****)</v>
      </c>
      <c r="H17" s="417" t="str">
        <f t="shared" si="11"/>
        <v>(****)</v>
      </c>
      <c r="I17" s="417" t="str">
        <f t="shared" si="11"/>
        <v>(****)</v>
      </c>
      <c r="J17" s="417" t="str">
        <f t="shared" si="11"/>
        <v>(****)</v>
      </c>
      <c r="K17" s="417" t="str">
        <f t="shared" si="11"/>
        <v>(****)</v>
      </c>
      <c r="L17" s="417" t="str">
        <f t="shared" si="11"/>
        <v>(****)</v>
      </c>
      <c r="M17" s="417" t="str">
        <f t="shared" si="11"/>
        <v>(****)</v>
      </c>
      <c r="N17" s="417" t="str">
        <f t="shared" si="11"/>
        <v>(****)</v>
      </c>
      <c r="O17" s="417" t="str">
        <f t="shared" si="11"/>
        <v>(****)</v>
      </c>
      <c r="P17" s="418" t="str">
        <f t="shared" si="8"/>
        <v>(****)</v>
      </c>
    </row>
    <row r="18" spans="1:16" ht="30">
      <c r="A18" s="76" t="s">
        <v>229</v>
      </c>
      <c r="B18" s="417" t="str">
        <f>+'COMBUSTIBLES '!B20</f>
        <v>(***)</v>
      </c>
      <c r="C18" s="417" t="str">
        <f t="shared" si="1"/>
        <v>(***)</v>
      </c>
      <c r="D18" s="417" t="str">
        <f t="shared" si="6"/>
        <v>(***)</v>
      </c>
      <c r="E18" s="417" t="str">
        <f t="shared" ref="E18:O18" si="12">+D18</f>
        <v>(***)</v>
      </c>
      <c r="F18" s="417" t="str">
        <f t="shared" si="12"/>
        <v>(***)</v>
      </c>
      <c r="G18" s="417" t="str">
        <f t="shared" si="12"/>
        <v>(***)</v>
      </c>
      <c r="H18" s="417" t="str">
        <f t="shared" si="12"/>
        <v>(***)</v>
      </c>
      <c r="I18" s="417" t="str">
        <f t="shared" si="12"/>
        <v>(***)</v>
      </c>
      <c r="J18" s="417" t="str">
        <f t="shared" si="12"/>
        <v>(***)</v>
      </c>
      <c r="K18" s="417" t="str">
        <f t="shared" si="12"/>
        <v>(***)</v>
      </c>
      <c r="L18" s="417" t="str">
        <f t="shared" si="12"/>
        <v>(***)</v>
      </c>
      <c r="M18" s="417" t="str">
        <f t="shared" si="12"/>
        <v>(***)</v>
      </c>
      <c r="N18" s="417" t="str">
        <f t="shared" si="12"/>
        <v>(***)</v>
      </c>
      <c r="O18" s="417" t="str">
        <f t="shared" si="12"/>
        <v>(***)</v>
      </c>
      <c r="P18" s="418" t="str">
        <f t="shared" si="8"/>
        <v>(***)</v>
      </c>
    </row>
    <row r="19" spans="1:16" ht="30.75" thickBot="1">
      <c r="A19" s="79" t="s">
        <v>61</v>
      </c>
      <c r="B19" s="423" t="str">
        <f>+'COMBUSTIBLES '!B21</f>
        <v>(**)</v>
      </c>
      <c r="C19" s="423" t="str">
        <f>+B19</f>
        <v>(**)</v>
      </c>
      <c r="D19" s="423" t="str">
        <f t="shared" si="6"/>
        <v>(**)</v>
      </c>
      <c r="E19" s="423" t="str">
        <f t="shared" ref="E19:O19" si="13">+D19</f>
        <v>(**)</v>
      </c>
      <c r="F19" s="423" t="str">
        <f t="shared" si="13"/>
        <v>(**)</v>
      </c>
      <c r="G19" s="423" t="str">
        <f t="shared" si="13"/>
        <v>(**)</v>
      </c>
      <c r="H19" s="423" t="str">
        <f t="shared" si="13"/>
        <v>(**)</v>
      </c>
      <c r="I19" s="423" t="str">
        <f t="shared" si="13"/>
        <v>(**)</v>
      </c>
      <c r="J19" s="423" t="str">
        <f t="shared" si="13"/>
        <v>(**)</v>
      </c>
      <c r="K19" s="423" t="str">
        <f t="shared" si="13"/>
        <v>(**)</v>
      </c>
      <c r="L19" s="423" t="str">
        <f t="shared" si="13"/>
        <v>(**)</v>
      </c>
      <c r="M19" s="423" t="str">
        <f t="shared" si="13"/>
        <v>(**)</v>
      </c>
      <c r="N19" s="423" t="str">
        <f t="shared" si="13"/>
        <v>(**)</v>
      </c>
      <c r="O19" s="423" t="str">
        <f t="shared" si="13"/>
        <v>(**)</v>
      </c>
      <c r="P19" s="424" t="str">
        <f t="shared" si="8"/>
        <v>(**)</v>
      </c>
    </row>
    <row r="20" spans="1:16" ht="13.5" thickTop="1"/>
    <row r="21" spans="1:16" ht="15">
      <c r="A21" s="781" t="s">
        <v>336</v>
      </c>
      <c r="B21" s="782"/>
      <c r="C21" s="782"/>
      <c r="D21" s="782"/>
      <c r="E21" s="782"/>
      <c r="F21" s="782"/>
      <c r="G21" s="782"/>
      <c r="H21" s="782"/>
      <c r="I21" s="782"/>
      <c r="J21" s="782"/>
      <c r="K21" s="782"/>
      <c r="L21" s="782"/>
      <c r="M21" s="782"/>
      <c r="N21" s="782"/>
      <c r="O21" s="782"/>
      <c r="P21" s="782"/>
    </row>
    <row r="22" spans="1:16" ht="15">
      <c r="A22" s="439"/>
      <c r="B22" s="440"/>
      <c r="C22" s="440"/>
      <c r="D22" s="440"/>
      <c r="E22" s="440"/>
      <c r="F22" s="440"/>
      <c r="G22" s="440"/>
      <c r="H22" s="440"/>
      <c r="I22" s="440"/>
      <c r="J22" s="440"/>
      <c r="K22" s="440"/>
      <c r="L22" s="440"/>
      <c r="M22" s="440"/>
      <c r="N22" s="440"/>
      <c r="O22" s="440"/>
      <c r="P22" s="440"/>
    </row>
    <row r="23" spans="1:16">
      <c r="A23" s="765" t="s">
        <v>221</v>
      </c>
      <c r="B23" s="765"/>
      <c r="C23" s="765"/>
      <c r="D23" s="765"/>
      <c r="E23" s="765"/>
      <c r="F23" s="765"/>
    </row>
    <row r="24" spans="1:16">
      <c r="A24" s="435"/>
      <c r="B24" s="435"/>
      <c r="C24" s="435"/>
      <c r="D24" s="435"/>
      <c r="E24" s="435"/>
      <c r="F24" s="435"/>
    </row>
    <row r="25" spans="1:16">
      <c r="A25" s="765" t="s">
        <v>217</v>
      </c>
      <c r="B25" s="765"/>
      <c r="C25" s="765"/>
      <c r="D25" s="765"/>
      <c r="E25" s="765"/>
      <c r="F25" s="765"/>
    </row>
    <row r="26" spans="1:16" ht="15">
      <c r="A26" s="13"/>
      <c r="B26" s="317"/>
      <c r="C26" s="317"/>
      <c r="D26" s="317"/>
      <c r="E26" s="317"/>
      <c r="F26" s="317"/>
    </row>
    <row r="27" spans="1:16">
      <c r="A27" s="748" t="s">
        <v>218</v>
      </c>
      <c r="B27" s="748"/>
      <c r="C27" s="748"/>
      <c r="D27" s="748"/>
      <c r="E27" s="748"/>
      <c r="F27" s="748"/>
    </row>
    <row r="28" spans="1:16">
      <c r="A28" s="436"/>
      <c r="B28" s="436"/>
      <c r="C28" s="436"/>
      <c r="D28" s="436"/>
      <c r="E28" s="436"/>
      <c r="F28" s="436"/>
    </row>
    <row r="29" spans="1:16">
      <c r="A29" s="765" t="s">
        <v>219</v>
      </c>
      <c r="B29" s="765"/>
      <c r="C29" s="765"/>
      <c r="D29" s="765"/>
      <c r="E29" s="765"/>
      <c r="F29" s="765"/>
    </row>
    <row r="30" spans="1:16" ht="15">
      <c r="A30" s="752"/>
      <c r="B30" s="753"/>
      <c r="C30" s="753"/>
      <c r="D30" s="753"/>
      <c r="E30" s="753"/>
      <c r="F30" s="753"/>
    </row>
    <row r="31" spans="1:16">
      <c r="A31" s="765" t="s">
        <v>297</v>
      </c>
      <c r="B31" s="765"/>
      <c r="C31" s="765"/>
      <c r="D31" s="765"/>
      <c r="E31" s="765"/>
      <c r="F31" s="765"/>
    </row>
    <row r="32" spans="1:16">
      <c r="A32" s="765" t="s">
        <v>304</v>
      </c>
      <c r="B32" s="765"/>
      <c r="C32" s="765"/>
      <c r="D32" s="765"/>
      <c r="E32" s="765"/>
      <c r="F32" s="765"/>
    </row>
    <row r="35" spans="1:5" ht="114.75" customHeight="1">
      <c r="A35" s="749" t="s">
        <v>337</v>
      </c>
      <c r="B35" s="749"/>
      <c r="C35" s="749"/>
      <c r="D35" s="749"/>
      <c r="E35" s="749"/>
    </row>
  </sheetData>
  <mergeCells count="10">
    <mergeCell ref="A35:E35"/>
    <mergeCell ref="A30:F30"/>
    <mergeCell ref="A31:F31"/>
    <mergeCell ref="A32:F32"/>
    <mergeCell ref="A4:P5"/>
    <mergeCell ref="A23:F23"/>
    <mergeCell ref="A25:F25"/>
    <mergeCell ref="A27:F27"/>
    <mergeCell ref="A29:F29"/>
    <mergeCell ref="A21:P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zoomScale="80" zoomScaleNormal="80" workbookViewId="0">
      <selection activeCell="F7" sqref="F7"/>
    </sheetView>
  </sheetViews>
  <sheetFormatPr baseColWidth="10" defaultRowHeight="12.75"/>
  <cols>
    <col min="1" max="1" width="53.42578125" customWidth="1"/>
    <col min="2" max="2" width="20.85546875" customWidth="1"/>
    <col min="3" max="3" width="23.85546875" customWidth="1"/>
    <col min="4" max="4" width="21.7109375" customWidth="1"/>
    <col min="5" max="5" width="21.28515625" customWidth="1"/>
    <col min="6" max="6" width="23" customWidth="1"/>
  </cols>
  <sheetData>
    <row r="2" spans="1:6" ht="16.5">
      <c r="A2" s="783" t="str">
        <f>CONCATENATE("ESTRUCTURAS DE PRECIOS PARA GASOLINA EXTRA OXIGENADA VIGENTES A PARTIR DE ",'COMBUSTIBLES '!$A$1)</f>
        <v>ESTRUCTURAS DE PRECIOS PARA GASOLINA EXTRA OXIGENADA VIGENTES A PARTIR DE 01 DE SEPTIEMBRE 2020</v>
      </c>
      <c r="B2" s="784"/>
      <c r="C2" s="784"/>
      <c r="D2" s="784"/>
      <c r="E2" s="784"/>
      <c r="F2" s="784"/>
    </row>
    <row r="3" spans="1:6" ht="16.5">
      <c r="A3" s="785" t="s">
        <v>0</v>
      </c>
      <c r="B3" s="786"/>
      <c r="C3" s="786"/>
      <c r="D3" s="786"/>
      <c r="E3" s="786"/>
      <c r="F3" s="786"/>
    </row>
    <row r="4" spans="1:6" ht="30">
      <c r="A4" s="771" t="s">
        <v>1</v>
      </c>
      <c r="B4" s="770" t="s">
        <v>27</v>
      </c>
      <c r="C4" s="770" t="s">
        <v>657</v>
      </c>
      <c r="D4" s="586" t="s">
        <v>29</v>
      </c>
      <c r="E4" s="787" t="s">
        <v>658</v>
      </c>
      <c r="F4" s="593" t="s">
        <v>29</v>
      </c>
    </row>
    <row r="5" spans="1:6" ht="15">
      <c r="A5" s="756"/>
      <c r="B5" s="759"/>
      <c r="C5" s="759"/>
      <c r="D5" s="587">
        <v>0.1</v>
      </c>
      <c r="E5" s="788"/>
      <c r="F5" s="594">
        <v>0.1</v>
      </c>
    </row>
    <row r="6" spans="1:6" ht="30" customHeight="1" thickBot="1">
      <c r="A6" s="757"/>
      <c r="B6" s="74" t="str">
        <f>+'GASOLINA CORRIENTE OXIGENADA'!B6</f>
        <v>01 DE SEPTIEMBRE 2020</v>
      </c>
      <c r="C6" s="74" t="str">
        <f>+B6</f>
        <v>01 DE SEPTIEMBRE 2020</v>
      </c>
      <c r="D6" s="74" t="str">
        <f>+C6</f>
        <v>01 DE SEPTIEMBRE 2020</v>
      </c>
      <c r="E6" s="74" t="str">
        <f>+B6</f>
        <v>01 DE SEPTIEMBRE 2020</v>
      </c>
      <c r="F6" s="75" t="str">
        <f>+B6</f>
        <v>01 DE SEPTIEMBRE 2020</v>
      </c>
    </row>
    <row r="7" spans="1:6" ht="23.25" customHeight="1" thickTop="1">
      <c r="A7" s="73" t="s">
        <v>3</v>
      </c>
      <c r="B7" s="96">
        <f>+'GASOLINA CORRIENTE OXIGENADA'!B7</f>
        <v>8286.2999999999993</v>
      </c>
      <c r="C7" s="96">
        <f>+'COMBUSTIBLES '!C7</f>
        <v>5700</v>
      </c>
      <c r="D7" s="588">
        <f>+ROUND((C7*(1-D5))+($B$7*D5),2)</f>
        <v>5958.63</v>
      </c>
      <c r="E7" s="602">
        <f>+'COMBUSTIBLES '!D7</f>
        <v>5700</v>
      </c>
      <c r="F7" s="601">
        <f>+ROUND((E7*(1-F5))+($B$7*F5),2)</f>
        <v>5958.63</v>
      </c>
    </row>
    <row r="8" spans="1:6" ht="23.25" customHeight="1">
      <c r="A8" s="65" t="s">
        <v>26</v>
      </c>
      <c r="B8" s="67"/>
      <c r="C8" s="67">
        <f>+'COMBUSTIBLES '!C8</f>
        <v>8.1370000000000005</v>
      </c>
      <c r="D8" s="566">
        <f>+C8</f>
        <v>8.1370000000000005</v>
      </c>
      <c r="E8" s="566">
        <f>+'COMBUSTIBLES '!E8</f>
        <v>8.1370000000000005</v>
      </c>
      <c r="F8" s="72">
        <f>+E8</f>
        <v>8.1370000000000005</v>
      </c>
    </row>
    <row r="9" spans="1:6" ht="23.25" customHeight="1">
      <c r="A9" s="65" t="s">
        <v>232</v>
      </c>
      <c r="B9" s="69"/>
      <c r="C9" s="69" t="s">
        <v>11</v>
      </c>
      <c r="D9" s="589" t="s">
        <v>11</v>
      </c>
      <c r="E9" s="589" t="s">
        <v>11</v>
      </c>
      <c r="F9" s="77" t="s">
        <v>11</v>
      </c>
    </row>
    <row r="10" spans="1:6" ht="23.25" customHeight="1">
      <c r="A10" s="65" t="s">
        <v>230</v>
      </c>
      <c r="B10" s="69"/>
      <c r="C10" s="69">
        <f>+'COMBUSTIBLES '!C10</f>
        <v>71.510000000000005</v>
      </c>
      <c r="D10" s="589">
        <f>+C10</f>
        <v>71.510000000000005</v>
      </c>
      <c r="E10" s="589">
        <f>+'COMBUSTIBLES '!D10</f>
        <v>71.510000000000005</v>
      </c>
      <c r="F10" s="77">
        <f>+E10</f>
        <v>71.510000000000005</v>
      </c>
    </row>
    <row r="11" spans="1:6" ht="23.25" customHeight="1">
      <c r="A11" s="65" t="s">
        <v>262</v>
      </c>
      <c r="B11" s="67"/>
      <c r="C11" s="67">
        <f>+'COMBUSTIBLES '!C11</f>
        <v>1036.78</v>
      </c>
      <c r="D11" s="566">
        <f>+ROUND(+C11*(1-D5),2)</f>
        <v>933.1</v>
      </c>
      <c r="E11" s="67">
        <f>+'COMBUSTIBLES '!D11</f>
        <v>1036.78</v>
      </c>
      <c r="F11" s="596">
        <f>+ROUND(+E11*(1-F5),2)</f>
        <v>933.1</v>
      </c>
    </row>
    <row r="12" spans="1:6" ht="23.25" customHeight="1">
      <c r="A12" s="65" t="s">
        <v>271</v>
      </c>
      <c r="B12" s="67"/>
      <c r="C12" s="458" t="s">
        <v>381</v>
      </c>
      <c r="D12" s="564" t="s">
        <v>381</v>
      </c>
      <c r="E12" s="458" t="s">
        <v>381</v>
      </c>
      <c r="F12" s="597" t="s">
        <v>381</v>
      </c>
    </row>
    <row r="13" spans="1:6" ht="23.25" customHeight="1">
      <c r="A13" s="65" t="s">
        <v>360</v>
      </c>
      <c r="B13" s="67"/>
      <c r="C13" s="67">
        <f>+'COMBUSTIBLES '!C13</f>
        <v>155</v>
      </c>
      <c r="D13" s="566">
        <f>+ROUND(+C13*(1-D5),2)</f>
        <v>139.5</v>
      </c>
      <c r="E13" s="67">
        <f>+'COMBUSTIBLES '!D13</f>
        <v>155</v>
      </c>
      <c r="F13" s="596">
        <f>+ROUND(+E13*(1-F5),2)</f>
        <v>139.5</v>
      </c>
    </row>
    <row r="14" spans="1:6" ht="23.25" customHeight="1">
      <c r="A14" s="65" t="s">
        <v>257</v>
      </c>
      <c r="B14" s="69"/>
      <c r="C14" s="69" t="s">
        <v>12</v>
      </c>
      <c r="D14" s="589" t="s">
        <v>12</v>
      </c>
      <c r="E14" s="69" t="s">
        <v>12</v>
      </c>
      <c r="F14" s="598" t="s">
        <v>12</v>
      </c>
    </row>
    <row r="15" spans="1:6" ht="23.25" customHeight="1">
      <c r="A15" s="65" t="s">
        <v>4</v>
      </c>
      <c r="B15" s="67"/>
      <c r="C15" s="95"/>
      <c r="D15" s="590"/>
      <c r="E15" s="95"/>
      <c r="F15" s="599"/>
    </row>
    <row r="16" spans="1:6" ht="23.25" customHeight="1">
      <c r="A16" s="65" t="s">
        <v>8</v>
      </c>
      <c r="B16" s="67"/>
      <c r="C16" s="67">
        <f>+'COMBUSTIBLES '!C16</f>
        <v>1776.95</v>
      </c>
      <c r="D16" s="566">
        <f>+ROUND(+C16*(1-D5),2)</f>
        <v>1599.26</v>
      </c>
      <c r="E16" s="67">
        <f>+'COMBUSTIBLES '!D16</f>
        <v>1776.95</v>
      </c>
      <c r="F16" s="596">
        <f>+ROUND(+E16*(1-F5),2)</f>
        <v>1599.26</v>
      </c>
    </row>
    <row r="17" spans="1:6" ht="23.25" customHeight="1">
      <c r="A17" s="65" t="s">
        <v>5</v>
      </c>
      <c r="B17" s="68"/>
      <c r="C17" s="68"/>
      <c r="D17" s="591"/>
      <c r="E17" s="68"/>
      <c r="F17" s="600"/>
    </row>
    <row r="18" spans="1:6" ht="23.25" customHeight="1">
      <c r="A18" s="65" t="s">
        <v>6</v>
      </c>
      <c r="B18" s="67"/>
      <c r="C18" s="95"/>
      <c r="D18" s="590"/>
      <c r="E18" s="95"/>
      <c r="F18" s="323"/>
    </row>
    <row r="19" spans="1:6" ht="23.25" customHeight="1">
      <c r="A19" s="65" t="s">
        <v>7</v>
      </c>
      <c r="B19" s="67"/>
      <c r="C19" s="67"/>
      <c r="D19" s="566"/>
      <c r="E19" s="67"/>
      <c r="F19" s="72"/>
    </row>
    <row r="20" spans="1:6" ht="23.25" customHeight="1">
      <c r="A20" s="65" t="s">
        <v>229</v>
      </c>
      <c r="B20" s="67"/>
      <c r="C20" s="67"/>
      <c r="D20" s="566"/>
      <c r="E20" s="67"/>
      <c r="F20" s="72"/>
    </row>
    <row r="21" spans="1:6" ht="23.25" customHeight="1" thickBot="1">
      <c r="A21" s="70" t="s">
        <v>9</v>
      </c>
      <c r="B21" s="80"/>
      <c r="C21" s="80" t="s">
        <v>12</v>
      </c>
      <c r="D21" s="592" t="s">
        <v>12</v>
      </c>
      <c r="E21" s="80" t="s">
        <v>12</v>
      </c>
      <c r="F21" s="81" t="s">
        <v>12</v>
      </c>
    </row>
    <row r="22" spans="1:6" ht="15.75" thickTop="1">
      <c r="A22" s="13"/>
      <c r="B22" s="14"/>
      <c r="C22" s="14"/>
      <c r="D22" s="14"/>
      <c r="E22" s="14"/>
      <c r="F22" s="14"/>
    </row>
    <row r="23" spans="1:6" ht="14.25">
      <c r="A23" s="765" t="s">
        <v>216</v>
      </c>
      <c r="B23" s="765"/>
      <c r="C23" s="765"/>
      <c r="D23" s="765"/>
      <c r="E23" s="7"/>
      <c r="F23" s="7"/>
    </row>
    <row r="24" spans="1:6">
      <c r="A24" s="595"/>
      <c r="B24" s="595"/>
      <c r="C24" s="595"/>
      <c r="D24" s="595"/>
      <c r="E24" s="595"/>
      <c r="F24" s="595"/>
    </row>
    <row r="25" spans="1:6" ht="14.25">
      <c r="A25" s="765" t="s">
        <v>231</v>
      </c>
      <c r="B25" s="765"/>
      <c r="C25" s="765"/>
      <c r="D25" s="765"/>
      <c r="E25" s="7"/>
      <c r="F25" s="7"/>
    </row>
    <row r="26" spans="1:6">
      <c r="A26" s="595"/>
      <c r="B26" s="595"/>
      <c r="C26" s="595"/>
      <c r="D26" s="595"/>
      <c r="E26" s="595"/>
      <c r="F26" s="595"/>
    </row>
    <row r="27" spans="1:6" ht="14.25">
      <c r="A27" s="765" t="s">
        <v>297</v>
      </c>
      <c r="B27" s="765"/>
      <c r="C27" s="765"/>
      <c r="D27" s="765"/>
      <c r="E27" s="7"/>
      <c r="F27" s="7"/>
    </row>
    <row r="28" spans="1:6" ht="14.25">
      <c r="A28" s="765" t="s">
        <v>643</v>
      </c>
      <c r="B28" s="765"/>
      <c r="C28" s="765"/>
      <c r="D28" s="765"/>
      <c r="E28" s="7"/>
      <c r="F28" s="7"/>
    </row>
    <row r="29" spans="1:6" ht="14.25">
      <c r="A29" s="765"/>
      <c r="B29" s="765"/>
      <c r="C29" s="765"/>
      <c r="D29" s="765"/>
      <c r="E29" s="7"/>
      <c r="F29" s="7"/>
    </row>
    <row r="30" spans="1:6" ht="14.25">
      <c r="A30" s="765"/>
      <c r="B30" s="765"/>
      <c r="C30" s="765"/>
      <c r="D30" s="765"/>
      <c r="E30" s="7"/>
      <c r="F30" s="7"/>
    </row>
    <row r="31" spans="1:6" ht="14.25">
      <c r="A31" s="765"/>
      <c r="B31" s="765"/>
      <c r="C31" s="765"/>
      <c r="D31" s="765"/>
      <c r="E31" s="7"/>
      <c r="F31" s="7"/>
    </row>
    <row r="32" spans="1:6" ht="14.25">
      <c r="A32" s="765"/>
      <c r="B32" s="765"/>
      <c r="C32" s="765"/>
      <c r="D32" s="765"/>
      <c r="E32" s="7"/>
      <c r="F32" s="7"/>
    </row>
    <row r="33" spans="1:6">
      <c r="A33" s="595"/>
      <c r="B33" s="595"/>
      <c r="C33" s="595"/>
      <c r="D33" s="595"/>
      <c r="E33" s="595"/>
      <c r="F33" s="595"/>
    </row>
    <row r="34" spans="1:6" ht="138" customHeight="1">
      <c r="A34" s="749" t="s">
        <v>337</v>
      </c>
      <c r="B34" s="749"/>
      <c r="C34" s="749"/>
      <c r="D34" s="749"/>
      <c r="E34" s="7"/>
      <c r="F34" s="7"/>
    </row>
  </sheetData>
  <mergeCells count="11">
    <mergeCell ref="A23:D23"/>
    <mergeCell ref="A25:D25"/>
    <mergeCell ref="A27:D27"/>
    <mergeCell ref="A28:D32"/>
    <mergeCell ref="A34:D34"/>
    <mergeCell ref="A2:F2"/>
    <mergeCell ref="A3:F3"/>
    <mergeCell ref="A4:A6"/>
    <mergeCell ref="B4:B5"/>
    <mergeCell ref="C4:C5"/>
    <mergeCell ref="E4:E5"/>
  </mergeCells>
  <pageMargins left="0.7" right="0.7" top="0.75" bottom="0.75" header="0.3" footer="0.3"/>
  <pageSetup orientation="portrait" r:id="rId1"/>
  <ignoredErrors>
    <ignoredError sqref="E7:E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X45"/>
  <sheetViews>
    <sheetView zoomScale="71" zoomScaleNormal="71" workbookViewId="0">
      <selection activeCell="A2" sqref="A2:G2"/>
    </sheetView>
  </sheetViews>
  <sheetFormatPr baseColWidth="10" defaultColWidth="9.85546875" defaultRowHeight="14.25"/>
  <cols>
    <col min="1" max="1" width="58.7109375" style="15" customWidth="1"/>
    <col min="2" max="2" width="21.42578125" style="7" customWidth="1"/>
    <col min="3" max="3" width="19.7109375" style="7" customWidth="1"/>
    <col min="4" max="4" width="19.7109375" style="7" hidden="1" customWidth="1"/>
    <col min="5" max="5" width="23.42578125" style="7" customWidth="1"/>
    <col min="6" max="6" width="23.42578125" style="7" hidden="1" customWidth="1"/>
    <col min="7" max="7" width="23.140625" style="7" customWidth="1"/>
    <col min="8" max="8" width="15.85546875" style="7" customWidth="1"/>
    <col min="9" max="9" width="17.85546875" style="7" customWidth="1"/>
    <col min="10" max="10" width="9.85546875" style="7" customWidth="1"/>
    <col min="11" max="11" width="16.28515625" style="7" customWidth="1"/>
    <col min="12" max="76" width="9.85546875" style="7" customWidth="1"/>
    <col min="77" max="16384" width="9.85546875" style="7"/>
  </cols>
  <sheetData>
    <row r="1" spans="1:76" s="56" customFormat="1" ht="15.75" thickBot="1">
      <c r="A1" s="55"/>
    </row>
    <row r="2" spans="1:76" s="51" customFormat="1" ht="42.75" customHeight="1" thickTop="1">
      <c r="A2" s="790" t="str">
        <f>CONCATENATE("ESTRUCTURAS DE PRECIOS PARA LA MEZCLA DE BIOCOMBUSTIBLE PARA USO EN MOTORES DIESEL CON EL ACPM VIGENTES A PARTIR DE ",'COMBUSTIBLES '!$A$1)</f>
        <v>ESTRUCTURAS DE PRECIOS PARA LA MEZCLA DE BIOCOMBUSTIBLE PARA USO EN MOTORES DIESEL CON EL ACPM VIGENTES A PARTIR DE 01 DE SEPTIEMBRE 2020</v>
      </c>
      <c r="B2" s="791"/>
      <c r="C2" s="791"/>
      <c r="D2" s="791"/>
      <c r="E2" s="791"/>
      <c r="F2" s="791"/>
      <c r="G2" s="791"/>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row>
    <row r="3" spans="1:76" s="51" customFormat="1" ht="19.5" customHeight="1">
      <c r="A3" s="792" t="s">
        <v>0</v>
      </c>
      <c r="B3" s="793"/>
      <c r="C3" s="793"/>
      <c r="D3" s="793"/>
      <c r="E3" s="793"/>
      <c r="F3" s="793"/>
      <c r="G3" s="793"/>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row>
    <row r="4" spans="1:76" s="6" customFormat="1" ht="56.25" customHeight="1">
      <c r="A4" s="794" t="s">
        <v>1</v>
      </c>
      <c r="B4" s="85" t="s">
        <v>164</v>
      </c>
      <c r="C4" s="797" t="s">
        <v>681</v>
      </c>
      <c r="D4" s="797" t="s">
        <v>64</v>
      </c>
      <c r="E4" s="86" t="s">
        <v>644</v>
      </c>
      <c r="F4" s="86" t="s">
        <v>269</v>
      </c>
      <c r="G4" s="86" t="s">
        <v>682</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row>
    <row r="5" spans="1:76" s="6" customFormat="1" ht="25.5" customHeight="1">
      <c r="A5" s="795"/>
      <c r="B5" s="87">
        <v>1</v>
      </c>
      <c r="C5" s="798"/>
      <c r="D5" s="798"/>
      <c r="E5" s="88">
        <v>0.02</v>
      </c>
      <c r="F5" s="88">
        <v>0.04</v>
      </c>
      <c r="G5" s="88">
        <v>0.1</v>
      </c>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76" s="6" customFormat="1" ht="35.25" customHeight="1" thickBot="1">
      <c r="A6" s="796"/>
      <c r="B6" s="178" t="str">
        <f>+'COMBUSTIBLES '!A1</f>
        <v>01 DE SEPTIEMBRE 2020</v>
      </c>
      <c r="C6" s="178" t="str">
        <f>+B6</f>
        <v>01 DE SEPTIEMBRE 2020</v>
      </c>
      <c r="D6" s="178" t="str">
        <f>+C6</f>
        <v>01 DE SEPTIEMBRE 2020</v>
      </c>
      <c r="E6" s="179" t="str">
        <f>+B6</f>
        <v>01 DE SEPTIEMBRE 2020</v>
      </c>
      <c r="F6" s="179" t="str">
        <f>+B6</f>
        <v>01 DE SEPTIEMBRE 2020</v>
      </c>
      <c r="G6" s="179" t="str">
        <f>+B6</f>
        <v>01 DE SEPTIEMBRE 2020</v>
      </c>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row>
    <row r="7" spans="1:76" s="128" customFormat="1" ht="31.5" customHeight="1" thickTop="1">
      <c r="A7" s="125" t="s">
        <v>3</v>
      </c>
      <c r="B7" s="430">
        <v>11288.32</v>
      </c>
      <c r="C7" s="430">
        <f>+'COMBUSTIBLES '!E7</f>
        <v>4583.5</v>
      </c>
      <c r="D7" s="430">
        <f>+C7</f>
        <v>4583.5</v>
      </c>
      <c r="E7" s="126"/>
      <c r="F7" s="126"/>
      <c r="G7" s="126"/>
      <c r="H7" s="134"/>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row>
    <row r="8" spans="1:76" s="128" customFormat="1" ht="31.5" customHeight="1">
      <c r="A8" s="129" t="s">
        <v>63</v>
      </c>
      <c r="B8" s="132"/>
      <c r="C8" s="90"/>
      <c r="D8" s="90"/>
      <c r="E8" s="89">
        <f>+ROUND(C7*(1-E5), 2)</f>
        <v>4491.83</v>
      </c>
      <c r="F8" s="89">
        <f>+ROUND(C7*(1-F5), 2)</f>
        <v>4400.16</v>
      </c>
      <c r="G8" s="89">
        <f>+ROUND(+C7*(1-G5),2)</f>
        <v>4125.1499999999996</v>
      </c>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row>
    <row r="9" spans="1:76" s="128" customFormat="1" ht="31.5" customHeight="1">
      <c r="A9" s="129" t="s">
        <v>191</v>
      </c>
      <c r="B9" s="91"/>
      <c r="C9" s="91"/>
      <c r="D9" s="91"/>
      <c r="E9" s="89">
        <f>+ROUND($B$7*E5,2)</f>
        <v>225.77</v>
      </c>
      <c r="F9" s="89">
        <f>+ROUND($B$7*F5,2)</f>
        <v>451.53</v>
      </c>
      <c r="G9" s="89">
        <f>+ROUND($B$7*G5,2)</f>
        <v>1128.83</v>
      </c>
      <c r="H9" s="127"/>
      <c r="I9" s="659"/>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row>
    <row r="10" spans="1:76" s="128" customFormat="1" ht="31.5" customHeight="1">
      <c r="A10" s="129" t="s">
        <v>659</v>
      </c>
      <c r="B10" s="91"/>
      <c r="C10" s="91"/>
      <c r="D10" s="91"/>
      <c r="E10" s="89">
        <f>+E9+E8</f>
        <v>4717.6000000000004</v>
      </c>
      <c r="F10" s="89">
        <f>+F9+F8</f>
        <v>4851.6899999999996</v>
      </c>
      <c r="G10" s="89">
        <f>+G9+G8</f>
        <v>5253.98</v>
      </c>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row>
    <row r="11" spans="1:76" s="128" customFormat="1" ht="31.5" customHeight="1">
      <c r="A11" s="129" t="str">
        <f>+'COMBUSTIBLES '!A11</f>
        <v>Impuesto Nacional a la Gasolina y al ACPM</v>
      </c>
      <c r="B11" s="91"/>
      <c r="C11" s="91">
        <f>+Variables!C31</f>
        <v>522.85</v>
      </c>
      <c r="D11" s="91">
        <f>+Variables!C30</f>
        <v>522.85</v>
      </c>
      <c r="E11" s="89">
        <f>+ROUND($C$11*(1-E5),2)</f>
        <v>512.39</v>
      </c>
      <c r="F11" s="89">
        <f>+ROUND($C$11*(1-F5),2)</f>
        <v>501.94</v>
      </c>
      <c r="G11" s="89">
        <f>+ROUND($D$11*(1-G5),2)</f>
        <v>470.57</v>
      </c>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row>
    <row r="12" spans="1:76" s="128" customFormat="1" ht="31.5" customHeight="1">
      <c r="A12" s="129" t="str">
        <f>+'COMBUSTIBLES '!A12</f>
        <v>Impuesto sobre las Ventas</v>
      </c>
      <c r="B12" s="91"/>
      <c r="C12" s="91" t="str">
        <f>+'COMBUSTIBLES '!C12</f>
        <v>(3)</v>
      </c>
      <c r="D12" s="91" t="str">
        <f>+C12</f>
        <v>(3)</v>
      </c>
      <c r="E12" s="89" t="str">
        <f>+D12</f>
        <v>(3)</v>
      </c>
      <c r="F12" s="89" t="str">
        <f>+E12</f>
        <v>(3)</v>
      </c>
      <c r="G12" s="89" t="str">
        <f>+E12</f>
        <v>(3)</v>
      </c>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row>
    <row r="13" spans="1:76" s="128" customFormat="1" ht="31.5" customHeight="1">
      <c r="A13" s="129" t="str">
        <f>+'COMBUSTIBLES '!A13</f>
        <v>Impuesto al carbono</v>
      </c>
      <c r="B13" s="91"/>
      <c r="C13" s="91">
        <f>Variables!C47</f>
        <v>174</v>
      </c>
      <c r="D13" s="91">
        <f>C13</f>
        <v>174</v>
      </c>
      <c r="E13" s="89">
        <f>ROUND(D13*(1-E5),2)</f>
        <v>170.52</v>
      </c>
      <c r="F13" s="89">
        <f>ROUND(D13*(1-F5),2)</f>
        <v>167.04</v>
      </c>
      <c r="G13" s="89">
        <f>ROUND(D13*(1-G5),2)</f>
        <v>156.6</v>
      </c>
      <c r="H13" s="127" t="s">
        <v>159</v>
      </c>
      <c r="I13" s="532" t="s">
        <v>159</v>
      </c>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row>
    <row r="14" spans="1:76" s="128" customFormat="1" ht="31.5" customHeight="1">
      <c r="A14" s="129" t="s">
        <v>56</v>
      </c>
      <c r="B14" s="91"/>
      <c r="C14" s="433">
        <f>+'COMBUSTIBLES '!E8</f>
        <v>8.1370000000000005</v>
      </c>
      <c r="D14" s="433">
        <f t="shared" ref="D14:F15" si="0">+C14</f>
        <v>8.1370000000000005</v>
      </c>
      <c r="E14" s="89">
        <f t="shared" si="0"/>
        <v>8.1370000000000005</v>
      </c>
      <c r="F14" s="89">
        <f t="shared" si="0"/>
        <v>8.1370000000000005</v>
      </c>
      <c r="G14" s="89">
        <f>+C14</f>
        <v>8.1370000000000005</v>
      </c>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row>
    <row r="15" spans="1:76" s="128" customFormat="1" ht="31.5" customHeight="1">
      <c r="A15" s="129" t="s">
        <v>233</v>
      </c>
      <c r="B15" s="91"/>
      <c r="C15" s="91" t="s">
        <v>11</v>
      </c>
      <c r="D15" s="91" t="str">
        <f t="shared" si="0"/>
        <v>(*)</v>
      </c>
      <c r="E15" s="89" t="str">
        <f t="shared" si="0"/>
        <v>(*)</v>
      </c>
      <c r="F15" s="89" t="str">
        <f t="shared" si="0"/>
        <v>(*)</v>
      </c>
      <c r="G15" s="89" t="str">
        <f>+D15</f>
        <v>(*)</v>
      </c>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row>
    <row r="16" spans="1:76" s="128" customFormat="1" ht="31.5" customHeight="1">
      <c r="A16" s="129" t="s">
        <v>234</v>
      </c>
      <c r="B16" s="91" t="s">
        <v>159</v>
      </c>
      <c r="C16" s="91"/>
      <c r="D16" s="91"/>
      <c r="E16" s="89" t="s">
        <v>12</v>
      </c>
      <c r="F16" s="89" t="str">
        <f>+E16</f>
        <v>(**)</v>
      </c>
      <c r="G16" s="89" t="str">
        <f>+E16</f>
        <v>(**)</v>
      </c>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row>
    <row r="17" spans="1:76" s="128" customFormat="1" ht="31.5" customHeight="1">
      <c r="A17" s="76" t="s">
        <v>222</v>
      </c>
      <c r="B17" s="91"/>
      <c r="C17" s="91">
        <f>'COMBUSTIBLES '!E10</f>
        <v>71.510000000000005</v>
      </c>
      <c r="D17" s="91">
        <f>+C17</f>
        <v>71.510000000000005</v>
      </c>
      <c r="E17" s="89">
        <f>+C17</f>
        <v>71.510000000000005</v>
      </c>
      <c r="F17" s="89">
        <f>+D17</f>
        <v>71.510000000000005</v>
      </c>
      <c r="G17" s="89">
        <f>+E17</f>
        <v>71.510000000000005</v>
      </c>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row>
    <row r="18" spans="1:76" s="128" customFormat="1" ht="31.5" customHeight="1">
      <c r="A18" s="129" t="s">
        <v>50</v>
      </c>
      <c r="B18" s="91"/>
      <c r="C18" s="91"/>
      <c r="D18" s="91"/>
      <c r="E18" s="89"/>
      <c r="F18" s="89"/>
      <c r="G18" s="89"/>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row>
    <row r="19" spans="1:76" s="128" customFormat="1" ht="31.5" customHeight="1">
      <c r="A19" s="129" t="s">
        <v>47</v>
      </c>
      <c r="B19" s="130"/>
      <c r="C19" s="131"/>
      <c r="D19" s="131"/>
      <c r="E19" s="124" t="s">
        <v>159</v>
      </c>
      <c r="F19" s="124"/>
      <c r="G19" s="425" t="s">
        <v>225</v>
      </c>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row>
    <row r="20" spans="1:76" s="128" customFormat="1" ht="31.5" customHeight="1">
      <c r="A20" s="129" t="s">
        <v>62</v>
      </c>
      <c r="B20" s="130"/>
      <c r="C20" s="130"/>
      <c r="D20" s="130"/>
      <c r="E20" s="124" t="s">
        <v>159</v>
      </c>
      <c r="F20" s="124"/>
      <c r="G20" s="124" t="s">
        <v>22</v>
      </c>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row>
    <row r="21" spans="1:76" s="128" customFormat="1" ht="31.5" customHeight="1">
      <c r="A21" s="129" t="s">
        <v>48</v>
      </c>
      <c r="B21" s="130"/>
      <c r="C21" s="130"/>
      <c r="D21" s="130"/>
      <c r="E21" s="124" t="s">
        <v>159</v>
      </c>
      <c r="F21" s="124"/>
      <c r="G21" s="89" t="s">
        <v>225</v>
      </c>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row>
    <row r="22" spans="1:76" s="128" customFormat="1" ht="31.5" customHeight="1">
      <c r="A22" s="129" t="s">
        <v>236</v>
      </c>
      <c r="B22" s="130"/>
      <c r="C22" s="130"/>
      <c r="D22" s="130"/>
      <c r="E22" s="124" t="s">
        <v>159</v>
      </c>
      <c r="F22" s="124"/>
      <c r="G22" s="89" t="s">
        <v>225</v>
      </c>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row>
    <row r="23" spans="1:76" s="135" customFormat="1" ht="31.5" customHeight="1">
      <c r="A23" s="133" t="s">
        <v>8</v>
      </c>
      <c r="B23" s="91"/>
      <c r="C23" s="91"/>
      <c r="D23" s="91"/>
      <c r="E23" s="89"/>
      <c r="F23" s="89"/>
      <c r="G23" s="89">
        <f>'COMBUSTIBLES '!E16</f>
        <v>301.48</v>
      </c>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row>
    <row r="24" spans="1:76" s="60" customFormat="1" ht="31.5" customHeight="1" thickBot="1">
      <c r="A24" s="92" t="s">
        <v>61</v>
      </c>
      <c r="B24" s="93"/>
      <c r="C24" s="93"/>
      <c r="D24" s="93"/>
      <c r="E24" s="94" t="s">
        <v>159</v>
      </c>
      <c r="F24" s="94"/>
      <c r="G24" s="94" t="s">
        <v>22</v>
      </c>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row>
    <row r="25" spans="1:76" s="6" customFormat="1" ht="9.75" customHeight="1" thickTop="1">
      <c r="A25" s="13"/>
      <c r="B25" s="14"/>
      <c r="C25" s="14"/>
      <c r="D25" s="14"/>
      <c r="E25" s="14"/>
      <c r="F25" s="14"/>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row>
    <row r="26" spans="1:76" s="60" customFormat="1" ht="25.5" customHeight="1">
      <c r="A26" s="552" t="s">
        <v>163</v>
      </c>
      <c r="B26" s="552"/>
      <c r="C26" s="552"/>
      <c r="D26" s="552"/>
      <c r="E26" s="553"/>
      <c r="F26" s="553"/>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row>
    <row r="27" spans="1:76" s="60" customFormat="1" ht="7.5" customHeight="1">
      <c r="A27" s="554"/>
      <c r="B27" s="553"/>
      <c r="C27" s="553"/>
      <c r="D27" s="553"/>
      <c r="E27" s="553"/>
      <c r="F27" s="553"/>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row>
    <row r="28" spans="1:76" s="60" customFormat="1" ht="25.5" hidden="1" customHeight="1">
      <c r="A28" s="552" t="s">
        <v>270</v>
      </c>
      <c r="B28" s="552"/>
      <c r="C28" s="552"/>
      <c r="D28" s="552"/>
      <c r="E28" s="553"/>
      <c r="F28" s="553"/>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row>
    <row r="29" spans="1:76" s="60" customFormat="1" ht="9.75" customHeight="1">
      <c r="A29" s="554"/>
      <c r="B29" s="553"/>
      <c r="C29" s="553"/>
      <c r="D29" s="553"/>
      <c r="E29" s="553"/>
      <c r="F29" s="553"/>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row>
    <row r="30" spans="1:76" s="60" customFormat="1" ht="32.25" customHeight="1">
      <c r="A30" s="799" t="s">
        <v>216</v>
      </c>
      <c r="B30" s="799"/>
      <c r="C30" s="799"/>
      <c r="D30" s="799"/>
      <c r="E30" s="799"/>
      <c r="F30" s="799"/>
      <c r="G30" s="799"/>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row>
    <row r="31" spans="1:76" s="60" customFormat="1" ht="6.75" customHeight="1">
      <c r="A31" s="555"/>
      <c r="B31" s="555"/>
      <c r="C31" s="555"/>
      <c r="D31" s="555"/>
      <c r="E31" s="556"/>
      <c r="F31" s="556"/>
      <c r="G31" s="556"/>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row>
    <row r="32" spans="1:76" s="558" customFormat="1" ht="24.75" customHeight="1">
      <c r="A32" s="799" t="s">
        <v>253</v>
      </c>
      <c r="B32" s="799"/>
      <c r="C32" s="799"/>
      <c r="D32" s="799"/>
      <c r="E32" s="799"/>
      <c r="F32" s="799"/>
      <c r="G32" s="799"/>
    </row>
    <row r="33" spans="1:7" s="558" customFormat="1" ht="11.25" customHeight="1">
      <c r="A33" s="559" t="s">
        <v>159</v>
      </c>
      <c r="B33" s="560"/>
      <c r="C33" s="560"/>
      <c r="D33" s="560"/>
      <c r="E33" s="557"/>
      <c r="F33" s="557"/>
      <c r="G33" s="557"/>
    </row>
    <row r="34" spans="1:7" s="558" customFormat="1" ht="32.25" customHeight="1">
      <c r="A34" s="799" t="s">
        <v>235</v>
      </c>
      <c r="B34" s="799"/>
      <c r="C34" s="799"/>
      <c r="D34" s="799"/>
      <c r="E34" s="799"/>
      <c r="F34" s="799"/>
      <c r="G34" s="799"/>
    </row>
    <row r="35" spans="1:7" s="558" customFormat="1" ht="10.5" customHeight="1">
      <c r="A35" s="555"/>
      <c r="B35" s="555"/>
      <c r="C35" s="555"/>
      <c r="D35" s="555"/>
      <c r="E35" s="557"/>
      <c r="F35" s="557"/>
      <c r="G35" s="557"/>
    </row>
    <row r="36" spans="1:7" s="558" customFormat="1" ht="42.75" customHeight="1">
      <c r="A36" s="799" t="s">
        <v>227</v>
      </c>
      <c r="B36" s="799"/>
      <c r="C36" s="799"/>
      <c r="D36" s="799"/>
      <c r="E36" s="799"/>
      <c r="F36" s="799"/>
      <c r="G36" s="799"/>
    </row>
    <row r="37" spans="1:7" s="558" customFormat="1" ht="7.5" customHeight="1">
      <c r="A37" s="559"/>
      <c r="B37" s="560"/>
      <c r="C37" s="560"/>
      <c r="D37" s="560"/>
      <c r="E37" s="557"/>
      <c r="F37" s="557"/>
      <c r="G37" s="557"/>
    </row>
    <row r="38" spans="1:7" s="558" customFormat="1" ht="31.5" customHeight="1">
      <c r="A38" s="799" t="s">
        <v>297</v>
      </c>
      <c r="B38" s="799"/>
      <c r="C38" s="799"/>
      <c r="D38" s="799"/>
      <c r="E38" s="799"/>
      <c r="F38" s="799"/>
      <c r="G38" s="799"/>
    </row>
    <row r="39" spans="1:7" s="56" customFormat="1" ht="14.25" customHeight="1">
      <c r="A39" s="765" t="s">
        <v>643</v>
      </c>
      <c r="B39" s="765"/>
      <c r="C39" s="765"/>
      <c r="D39" s="765"/>
      <c r="E39" s="765"/>
      <c r="F39" s="765"/>
      <c r="G39" s="765"/>
    </row>
    <row r="40" spans="1:7" s="56" customFormat="1">
      <c r="A40" s="765"/>
      <c r="B40" s="765"/>
      <c r="C40" s="765"/>
      <c r="D40" s="765"/>
      <c r="E40" s="765"/>
      <c r="F40" s="765"/>
      <c r="G40" s="765"/>
    </row>
    <row r="41" spans="1:7" s="56" customFormat="1">
      <c r="A41" s="765"/>
      <c r="B41" s="765"/>
      <c r="C41" s="765"/>
      <c r="D41" s="765"/>
      <c r="E41" s="765"/>
      <c r="F41" s="765"/>
      <c r="G41" s="765"/>
    </row>
    <row r="42" spans="1:7" s="56" customFormat="1">
      <c r="A42" s="765"/>
      <c r="B42" s="765"/>
      <c r="C42" s="765"/>
      <c r="D42" s="765"/>
      <c r="E42" s="765"/>
      <c r="F42" s="765"/>
      <c r="G42" s="765"/>
    </row>
    <row r="43" spans="1:7" s="56" customFormat="1">
      <c r="A43" s="550"/>
      <c r="B43" s="550"/>
      <c r="C43" s="550"/>
      <c r="D43" s="550"/>
      <c r="E43" s="550"/>
      <c r="F43" s="550"/>
      <c r="G43" s="84"/>
    </row>
    <row r="44" spans="1:7" s="56" customFormat="1">
      <c r="A44" s="765"/>
      <c r="B44" s="765"/>
      <c r="C44" s="765"/>
      <c r="D44" s="765"/>
      <c r="E44" s="765"/>
      <c r="F44" s="765"/>
      <c r="G44" s="84"/>
    </row>
    <row r="45" spans="1:7" s="56" customFormat="1" ht="93.75" customHeight="1">
      <c r="A45" s="789" t="s">
        <v>337</v>
      </c>
      <c r="B45" s="789"/>
      <c r="C45" s="789"/>
      <c r="D45" s="789"/>
      <c r="E45" s="789"/>
      <c r="F45" s="789"/>
      <c r="G45" s="789"/>
    </row>
  </sheetData>
  <mergeCells count="13">
    <mergeCell ref="A45:G45"/>
    <mergeCell ref="A2:G2"/>
    <mergeCell ref="A3:G3"/>
    <mergeCell ref="A4:A6"/>
    <mergeCell ref="C4:C5"/>
    <mergeCell ref="D4:D5"/>
    <mergeCell ref="A44:F44"/>
    <mergeCell ref="A30:G30"/>
    <mergeCell ref="A32:G32"/>
    <mergeCell ref="A34:G34"/>
    <mergeCell ref="A36:G36"/>
    <mergeCell ref="A38:G38"/>
    <mergeCell ref="A39:G42"/>
  </mergeCells>
  <phoneticPr fontId="22" type="noConversion"/>
  <printOptions horizontalCentered="1" verticalCentered="1"/>
  <pageMargins left="0.59055118110236227" right="0.39370078740157483" top="0.19685039370078741" bottom="0.19685039370078741" header="0" footer="0"/>
  <pageSetup scale="5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5"/>
  </sheetPr>
  <dimension ref="A2:Q34"/>
  <sheetViews>
    <sheetView workbookViewId="0"/>
  </sheetViews>
  <sheetFormatPr baseColWidth="10" defaultRowHeight="12.75"/>
  <cols>
    <col min="1" max="1" width="70.140625" customWidth="1"/>
    <col min="2" max="2" width="14.7109375" customWidth="1"/>
    <col min="3" max="3" width="17.28515625" customWidth="1"/>
    <col min="4" max="4" width="15.5703125" customWidth="1"/>
    <col min="5" max="5" width="19.42578125" customWidth="1"/>
    <col min="6" max="6" width="18" customWidth="1"/>
    <col min="7" max="7" width="15.42578125" customWidth="1"/>
    <col min="9" max="9" width="12.42578125" customWidth="1"/>
    <col min="11" max="11" width="15.28515625" customWidth="1"/>
    <col min="12" max="14" width="15" customWidth="1"/>
    <col min="15" max="15" width="16.5703125" customWidth="1"/>
    <col min="16" max="16" width="16.42578125" customWidth="1"/>
  </cols>
  <sheetData>
    <row r="2" spans="1:17" ht="14.25">
      <c r="A2" s="411" t="s">
        <v>314</v>
      </c>
    </row>
    <row r="3" spans="1:17" ht="13.5" thickBot="1">
      <c r="B3" s="446">
        <v>0.98</v>
      </c>
      <c r="C3" s="446">
        <v>0.96</v>
      </c>
    </row>
    <row r="4" spans="1:17" ht="15.75" customHeight="1" thickTop="1">
      <c r="A4" s="800" t="s">
        <v>315</v>
      </c>
      <c r="B4" s="801"/>
      <c r="C4" s="801"/>
      <c r="D4" s="801"/>
      <c r="E4" s="801"/>
      <c r="F4" s="801"/>
      <c r="G4" s="801"/>
      <c r="H4" s="801"/>
      <c r="I4" s="801"/>
      <c r="J4" s="801"/>
      <c r="K4" s="801"/>
      <c r="L4" s="801"/>
      <c r="M4" s="801"/>
      <c r="N4" s="801"/>
      <c r="O4" s="801"/>
      <c r="P4" s="802"/>
    </row>
    <row r="5" spans="1:17" ht="18" customHeight="1">
      <c r="A5" s="803"/>
      <c r="B5" s="804"/>
      <c r="C5" s="804"/>
      <c r="D5" s="804"/>
      <c r="E5" s="804"/>
      <c r="F5" s="804"/>
      <c r="G5" s="804"/>
      <c r="H5" s="804"/>
      <c r="I5" s="804"/>
      <c r="J5" s="804"/>
      <c r="K5" s="804"/>
      <c r="L5" s="804"/>
      <c r="M5" s="804"/>
      <c r="N5" s="804"/>
      <c r="O5" s="804"/>
      <c r="P5" s="805"/>
    </row>
    <row r="6" spans="1:17" ht="66" customHeight="1">
      <c r="A6" s="410" t="s">
        <v>1</v>
      </c>
      <c r="B6" s="438" t="s">
        <v>319</v>
      </c>
      <c r="C6" s="438" t="s">
        <v>320</v>
      </c>
      <c r="D6" s="438" t="s">
        <v>321</v>
      </c>
      <c r="E6" s="438" t="s">
        <v>322</v>
      </c>
      <c r="F6" s="438" t="s">
        <v>323</v>
      </c>
      <c r="G6" s="438" t="s">
        <v>324</v>
      </c>
      <c r="H6" s="438" t="s">
        <v>325</v>
      </c>
      <c r="I6" s="438" t="s">
        <v>326</v>
      </c>
      <c r="J6" s="438" t="s">
        <v>327</v>
      </c>
      <c r="K6" s="438" t="s">
        <v>328</v>
      </c>
      <c r="L6" s="438" t="s">
        <v>329</v>
      </c>
      <c r="M6" s="438" t="s">
        <v>330</v>
      </c>
      <c r="N6" s="441" t="s">
        <v>331</v>
      </c>
      <c r="O6" s="441" t="s">
        <v>332</v>
      </c>
      <c r="P6" s="412" t="s">
        <v>333</v>
      </c>
    </row>
    <row r="7" spans="1:17" ht="21" customHeight="1">
      <c r="A7" s="82" t="s">
        <v>334</v>
      </c>
      <c r="B7" s="413">
        <v>5490.5</v>
      </c>
      <c r="C7" s="413">
        <v>5492.35</v>
      </c>
      <c r="D7" s="413">
        <v>5509.95</v>
      </c>
      <c r="E7" s="413">
        <v>5505.06</v>
      </c>
      <c r="F7" s="413">
        <v>5549.42</v>
      </c>
      <c r="G7" s="413">
        <v>5561.15</v>
      </c>
      <c r="H7" s="413">
        <v>5558.95</v>
      </c>
      <c r="I7" s="413">
        <v>5550.75</v>
      </c>
      <c r="J7" s="413">
        <v>5560.41</v>
      </c>
      <c r="K7" s="413">
        <v>5554.3</v>
      </c>
      <c r="L7" s="413">
        <v>5541.47</v>
      </c>
      <c r="M7" s="413">
        <v>5541.5</v>
      </c>
      <c r="N7" s="413">
        <v>5542.49</v>
      </c>
      <c r="O7" s="413">
        <v>5552.05</v>
      </c>
      <c r="P7" s="414">
        <v>5546.91</v>
      </c>
      <c r="Q7" s="426"/>
    </row>
    <row r="8" spans="1:17" ht="21" customHeight="1">
      <c r="A8" s="82" t="s">
        <v>317</v>
      </c>
      <c r="B8" s="413">
        <f>B7*$B$3</f>
        <v>5380.69</v>
      </c>
      <c r="C8" s="413">
        <f>C7*$B$3</f>
        <v>5382.5030000000006</v>
      </c>
      <c r="D8" s="413">
        <f>D7*$C$3</f>
        <v>5289.5519999999997</v>
      </c>
      <c r="E8" s="413">
        <f>E7*$C$3</f>
        <v>5284.8576000000003</v>
      </c>
      <c r="F8" s="413">
        <f t="shared" ref="F8:O8" si="0">F7*$B$3</f>
        <v>5438.4315999999999</v>
      </c>
      <c r="G8" s="413">
        <f t="shared" si="0"/>
        <v>5449.9269999999997</v>
      </c>
      <c r="H8" s="413">
        <f t="shared" si="0"/>
        <v>5447.7709999999997</v>
      </c>
      <c r="I8" s="413">
        <f t="shared" si="0"/>
        <v>5439.7349999999997</v>
      </c>
      <c r="J8" s="413">
        <f t="shared" si="0"/>
        <v>5449.2017999999998</v>
      </c>
      <c r="K8" s="413">
        <f t="shared" si="0"/>
        <v>5443.2139999999999</v>
      </c>
      <c r="L8" s="413">
        <f t="shared" si="0"/>
        <v>5430.6405999999997</v>
      </c>
      <c r="M8" s="413">
        <f t="shared" si="0"/>
        <v>5430.67</v>
      </c>
      <c r="N8" s="413">
        <f t="shared" si="0"/>
        <v>5431.6401999999998</v>
      </c>
      <c r="O8" s="413">
        <f t="shared" si="0"/>
        <v>5441.009</v>
      </c>
      <c r="P8" s="414">
        <f>P7*$B$3</f>
        <v>5435.9717999999993</v>
      </c>
      <c r="Q8" s="445"/>
    </row>
    <row r="9" spans="1:17" ht="21" customHeight="1">
      <c r="A9" s="82" t="s">
        <v>318</v>
      </c>
      <c r="B9" s="413">
        <f>+BIODIESEL!E9</f>
        <v>225.77</v>
      </c>
      <c r="C9" s="413">
        <f>+B9</f>
        <v>225.77</v>
      </c>
      <c r="D9" s="413">
        <f>+BIODIESEL!F9</f>
        <v>451.53</v>
      </c>
      <c r="E9" s="413">
        <f>+D9</f>
        <v>451.53</v>
      </c>
      <c r="F9" s="413">
        <f>+B9</f>
        <v>225.77</v>
      </c>
      <c r="G9" s="413">
        <f>+B9</f>
        <v>225.77</v>
      </c>
      <c r="H9" s="413">
        <f>+B9</f>
        <v>225.77</v>
      </c>
      <c r="I9" s="413">
        <f>+C9</f>
        <v>225.77</v>
      </c>
      <c r="J9" s="413">
        <f>+B9</f>
        <v>225.77</v>
      </c>
      <c r="K9" s="413">
        <f>+B9</f>
        <v>225.77</v>
      </c>
      <c r="L9" s="413">
        <f>+B9</f>
        <v>225.77</v>
      </c>
      <c r="M9" s="413">
        <f>+C9</f>
        <v>225.77</v>
      </c>
      <c r="N9" s="413">
        <f>+M9</f>
        <v>225.77</v>
      </c>
      <c r="O9" s="413">
        <f>+N9</f>
        <v>225.77</v>
      </c>
      <c r="P9" s="414">
        <f>+B9</f>
        <v>225.77</v>
      </c>
      <c r="Q9" s="427"/>
    </row>
    <row r="10" spans="1:17" ht="21" customHeight="1">
      <c r="A10" s="76" t="s">
        <v>290</v>
      </c>
      <c r="B10" s="415">
        <f>+B8+B9</f>
        <v>5606.46</v>
      </c>
      <c r="C10" s="415">
        <f t="shared" ref="C10:P10" si="1">+C8+C9</f>
        <v>5608.273000000001</v>
      </c>
      <c r="D10" s="415">
        <f t="shared" si="1"/>
        <v>5741.0819999999994</v>
      </c>
      <c r="E10" s="415">
        <f t="shared" si="1"/>
        <v>5736.3876</v>
      </c>
      <c r="F10" s="415">
        <f t="shared" si="1"/>
        <v>5664.2016000000003</v>
      </c>
      <c r="G10" s="415">
        <f t="shared" si="1"/>
        <v>5675.6970000000001</v>
      </c>
      <c r="H10" s="415">
        <f t="shared" si="1"/>
        <v>5673.5410000000002</v>
      </c>
      <c r="I10" s="415">
        <f t="shared" si="1"/>
        <v>5665.5050000000001</v>
      </c>
      <c r="J10" s="415">
        <f t="shared" si="1"/>
        <v>5674.9718000000003</v>
      </c>
      <c r="K10" s="415">
        <f t="shared" si="1"/>
        <v>5668.9840000000004</v>
      </c>
      <c r="L10" s="415">
        <f t="shared" si="1"/>
        <v>5656.4106000000002</v>
      </c>
      <c r="M10" s="415">
        <f t="shared" si="1"/>
        <v>5656.4400000000005</v>
      </c>
      <c r="N10" s="415">
        <f t="shared" si="1"/>
        <v>5657.4102000000003</v>
      </c>
      <c r="O10" s="415">
        <f t="shared" si="1"/>
        <v>5666.7790000000005</v>
      </c>
      <c r="P10" s="415">
        <f t="shared" si="1"/>
        <v>5661.7417999999998</v>
      </c>
    </row>
    <row r="11" spans="1:17" ht="21" customHeight="1">
      <c r="A11" s="76" t="s">
        <v>291</v>
      </c>
      <c r="B11" s="415">
        <f>+BIODIESEL!E11</f>
        <v>512.39</v>
      </c>
      <c r="C11" s="415">
        <f>+BIODIESEL!F11</f>
        <v>501.94</v>
      </c>
      <c r="D11" s="415">
        <f>+BIODIESEL!F11</f>
        <v>501.94</v>
      </c>
      <c r="E11" s="415">
        <f>+D11</f>
        <v>501.94</v>
      </c>
      <c r="F11" s="415">
        <f>+B11</f>
        <v>512.39</v>
      </c>
      <c r="G11" s="415">
        <f>+B11</f>
        <v>512.39</v>
      </c>
      <c r="H11" s="415">
        <f>+B11</f>
        <v>512.39</v>
      </c>
      <c r="I11" s="415">
        <f>+C11</f>
        <v>501.94</v>
      </c>
      <c r="J11" s="415">
        <f>+B11</f>
        <v>512.39</v>
      </c>
      <c r="K11" s="415">
        <f>+B11</f>
        <v>512.39</v>
      </c>
      <c r="L11" s="415">
        <f>+B11</f>
        <v>512.39</v>
      </c>
      <c r="M11" s="415">
        <f t="shared" ref="M11:O12" si="2">+C11</f>
        <v>501.94</v>
      </c>
      <c r="N11" s="415">
        <f t="shared" si="2"/>
        <v>501.94</v>
      </c>
      <c r="O11" s="415">
        <f t="shared" si="2"/>
        <v>501.94</v>
      </c>
      <c r="P11" s="416">
        <f>+B11</f>
        <v>512.39</v>
      </c>
    </row>
    <row r="12" spans="1:17" ht="21" customHeight="1">
      <c r="A12" s="76" t="s">
        <v>56</v>
      </c>
      <c r="B12" s="417">
        <f>+BIODIESEL!E14</f>
        <v>8.1370000000000005</v>
      </c>
      <c r="C12" s="417">
        <f>+B12</f>
        <v>8.1370000000000005</v>
      </c>
      <c r="D12" s="428">
        <v>5.17</v>
      </c>
      <c r="E12" s="428">
        <f>+D12</f>
        <v>5.17</v>
      </c>
      <c r="F12" s="417">
        <f>+B12</f>
        <v>8.1370000000000005</v>
      </c>
      <c r="G12" s="417">
        <f>+B12</f>
        <v>8.1370000000000005</v>
      </c>
      <c r="H12" s="417">
        <f>+B12</f>
        <v>8.1370000000000005</v>
      </c>
      <c r="I12" s="417">
        <f>+C12</f>
        <v>8.1370000000000005</v>
      </c>
      <c r="J12" s="417">
        <f>+B12</f>
        <v>8.1370000000000005</v>
      </c>
      <c r="K12" s="417">
        <f>+B12</f>
        <v>8.1370000000000005</v>
      </c>
      <c r="L12" s="417">
        <f>+B12</f>
        <v>8.1370000000000005</v>
      </c>
      <c r="M12" s="417">
        <f t="shared" si="2"/>
        <v>8.1370000000000005</v>
      </c>
      <c r="N12" s="417">
        <f>+M12</f>
        <v>8.1370000000000005</v>
      </c>
      <c r="O12" s="417">
        <f>+N12</f>
        <v>8.1370000000000005</v>
      </c>
      <c r="P12" s="418">
        <f>+B12</f>
        <v>8.1370000000000005</v>
      </c>
    </row>
    <row r="13" spans="1:17" ht="21" customHeight="1">
      <c r="A13" s="76" t="s">
        <v>293</v>
      </c>
      <c r="B13" s="417" t="str">
        <f>+BIODIESEL!C15</f>
        <v>(*)</v>
      </c>
      <c r="C13" s="417" t="str">
        <f>+B13</f>
        <v>(*)</v>
      </c>
      <c r="D13" s="417" t="str">
        <f t="shared" ref="D13:O13" si="3">+C13</f>
        <v>(*)</v>
      </c>
      <c r="E13" s="417" t="str">
        <f t="shared" si="3"/>
        <v>(*)</v>
      </c>
      <c r="F13" s="417" t="str">
        <f t="shared" si="3"/>
        <v>(*)</v>
      </c>
      <c r="G13" s="417" t="str">
        <f t="shared" si="3"/>
        <v>(*)</v>
      </c>
      <c r="H13" s="417" t="str">
        <f t="shared" si="3"/>
        <v>(*)</v>
      </c>
      <c r="I13" s="417" t="str">
        <f t="shared" si="3"/>
        <v>(*)</v>
      </c>
      <c r="J13" s="417" t="str">
        <f t="shared" si="3"/>
        <v>(*)</v>
      </c>
      <c r="K13" s="417" t="str">
        <f t="shared" si="3"/>
        <v>(*)</v>
      </c>
      <c r="L13" s="417" t="str">
        <f t="shared" si="3"/>
        <v>(*)</v>
      </c>
      <c r="M13" s="417" t="str">
        <f t="shared" si="3"/>
        <v>(*)</v>
      </c>
      <c r="N13" s="417" t="str">
        <f t="shared" si="3"/>
        <v>(*)</v>
      </c>
      <c r="O13" s="417" t="str">
        <f t="shared" si="3"/>
        <v>(*)</v>
      </c>
      <c r="P13" s="418" t="str">
        <f>+O13</f>
        <v>(*)</v>
      </c>
    </row>
    <row r="14" spans="1:17" ht="21" customHeight="1">
      <c r="A14" s="76" t="s">
        <v>294</v>
      </c>
      <c r="B14" s="417" t="str">
        <f>+BIODIESEL!E16</f>
        <v>(**)</v>
      </c>
      <c r="C14" s="417" t="str">
        <f>+B14</f>
        <v>(**)</v>
      </c>
      <c r="D14" s="417" t="str">
        <f t="shared" ref="D14:O14" si="4">+C14</f>
        <v>(**)</v>
      </c>
      <c r="E14" s="417" t="str">
        <f t="shared" si="4"/>
        <v>(**)</v>
      </c>
      <c r="F14" s="417" t="str">
        <f t="shared" si="4"/>
        <v>(**)</v>
      </c>
      <c r="G14" s="417" t="str">
        <f t="shared" si="4"/>
        <v>(**)</v>
      </c>
      <c r="H14" s="417" t="str">
        <f t="shared" si="4"/>
        <v>(**)</v>
      </c>
      <c r="I14" s="417" t="str">
        <f t="shared" si="4"/>
        <v>(**)</v>
      </c>
      <c r="J14" s="417" t="str">
        <f t="shared" si="4"/>
        <v>(**)</v>
      </c>
      <c r="K14" s="417" t="str">
        <f t="shared" si="4"/>
        <v>(**)</v>
      </c>
      <c r="L14" s="417" t="str">
        <f t="shared" si="4"/>
        <v>(**)</v>
      </c>
      <c r="M14" s="417" t="str">
        <f t="shared" si="4"/>
        <v>(**)</v>
      </c>
      <c r="N14" s="417" t="str">
        <f t="shared" si="4"/>
        <v>(**)</v>
      </c>
      <c r="O14" s="417" t="str">
        <f t="shared" si="4"/>
        <v>(**)</v>
      </c>
      <c r="P14" s="418" t="str">
        <f>+O14</f>
        <v>(**)</v>
      </c>
    </row>
    <row r="15" spans="1:17" ht="21" customHeight="1">
      <c r="A15" s="76" t="s">
        <v>292</v>
      </c>
      <c r="B15" s="417">
        <f>+BIODIESEL!E17</f>
        <v>71.510000000000005</v>
      </c>
      <c r="C15" s="417">
        <f>+BIODIESEL!F17</f>
        <v>71.510000000000005</v>
      </c>
      <c r="D15" s="417">
        <f>+B15</f>
        <v>71.510000000000005</v>
      </c>
      <c r="E15" s="417">
        <f>+D15</f>
        <v>71.510000000000005</v>
      </c>
      <c r="F15" s="417">
        <f>+BIODIESEL!G17</f>
        <v>71.510000000000005</v>
      </c>
      <c r="G15" s="417" t="e">
        <f>+BIODIESEL!#REF!</f>
        <v>#REF!</v>
      </c>
      <c r="H15" s="417">
        <f t="shared" ref="H15:O15" si="5">+B15</f>
        <v>71.510000000000005</v>
      </c>
      <c r="I15" s="417">
        <f t="shared" si="5"/>
        <v>71.510000000000005</v>
      </c>
      <c r="J15" s="417">
        <f t="shared" si="5"/>
        <v>71.510000000000005</v>
      </c>
      <c r="K15" s="417">
        <f t="shared" si="5"/>
        <v>71.510000000000005</v>
      </c>
      <c r="L15" s="417">
        <f t="shared" si="5"/>
        <v>71.510000000000005</v>
      </c>
      <c r="M15" s="417" t="e">
        <f t="shared" si="5"/>
        <v>#REF!</v>
      </c>
      <c r="N15" s="417">
        <f t="shared" si="5"/>
        <v>71.510000000000005</v>
      </c>
      <c r="O15" s="417">
        <f t="shared" si="5"/>
        <v>71.510000000000005</v>
      </c>
      <c r="P15" s="418" t="e">
        <f>+G15</f>
        <v>#REF!</v>
      </c>
    </row>
    <row r="16" spans="1:17" ht="21" customHeight="1">
      <c r="A16" s="76" t="s">
        <v>50</v>
      </c>
      <c r="B16" s="417"/>
      <c r="C16" s="417"/>
      <c r="D16" s="417"/>
      <c r="E16" s="417"/>
      <c r="F16" s="417"/>
      <c r="G16" s="417"/>
      <c r="H16" s="417"/>
      <c r="I16" s="417"/>
      <c r="J16" s="417"/>
      <c r="K16" s="417"/>
      <c r="L16" s="417"/>
      <c r="M16" s="417"/>
      <c r="N16" s="417"/>
      <c r="O16" s="417"/>
      <c r="P16" s="418"/>
    </row>
    <row r="17" spans="1:16" ht="21" customHeight="1">
      <c r="A17" s="76" t="s">
        <v>47</v>
      </c>
      <c r="B17" s="415" t="str">
        <f>+BIODIESEL!G19</f>
        <v>(****)</v>
      </c>
      <c r="C17" s="415" t="str">
        <f>+B17</f>
        <v>(****)</v>
      </c>
      <c r="D17" s="415" t="str">
        <f t="shared" ref="D17:O17" si="6">+C17</f>
        <v>(****)</v>
      </c>
      <c r="E17" s="415" t="str">
        <f t="shared" si="6"/>
        <v>(****)</v>
      </c>
      <c r="F17" s="415" t="str">
        <f t="shared" si="6"/>
        <v>(****)</v>
      </c>
      <c r="G17" s="415" t="str">
        <f t="shared" si="6"/>
        <v>(****)</v>
      </c>
      <c r="H17" s="415" t="str">
        <f t="shared" si="6"/>
        <v>(****)</v>
      </c>
      <c r="I17" s="415" t="str">
        <f t="shared" si="6"/>
        <v>(****)</v>
      </c>
      <c r="J17" s="415" t="str">
        <f t="shared" si="6"/>
        <v>(****)</v>
      </c>
      <c r="K17" s="415" t="str">
        <f t="shared" si="6"/>
        <v>(****)</v>
      </c>
      <c r="L17" s="415" t="str">
        <f t="shared" si="6"/>
        <v>(****)</v>
      </c>
      <c r="M17" s="415" t="str">
        <f t="shared" si="6"/>
        <v>(****)</v>
      </c>
      <c r="N17" s="415" t="str">
        <f t="shared" si="6"/>
        <v>(****)</v>
      </c>
      <c r="O17" s="415" t="str">
        <f t="shared" si="6"/>
        <v>(****)</v>
      </c>
      <c r="P17" s="416" t="str">
        <f>+O17</f>
        <v>(****)</v>
      </c>
    </row>
    <row r="18" spans="1:16" ht="21" customHeight="1">
      <c r="A18" s="76" t="s">
        <v>62</v>
      </c>
      <c r="B18" s="419" t="str">
        <f>+BIODIESEL!G20</f>
        <v>(***)</v>
      </c>
      <c r="C18" s="419" t="str">
        <f>+B18</f>
        <v>(***)</v>
      </c>
      <c r="D18" s="419" t="str">
        <f t="shared" ref="D18:O18" si="7">+C18</f>
        <v>(***)</v>
      </c>
      <c r="E18" s="419" t="str">
        <f t="shared" si="7"/>
        <v>(***)</v>
      </c>
      <c r="F18" s="419" t="str">
        <f t="shared" si="7"/>
        <v>(***)</v>
      </c>
      <c r="G18" s="419" t="str">
        <f t="shared" si="7"/>
        <v>(***)</v>
      </c>
      <c r="H18" s="419" t="str">
        <f t="shared" si="7"/>
        <v>(***)</v>
      </c>
      <c r="I18" s="419" t="str">
        <f t="shared" si="7"/>
        <v>(***)</v>
      </c>
      <c r="J18" s="419" t="str">
        <f t="shared" si="7"/>
        <v>(***)</v>
      </c>
      <c r="K18" s="419" t="str">
        <f t="shared" si="7"/>
        <v>(***)</v>
      </c>
      <c r="L18" s="419" t="str">
        <f t="shared" si="7"/>
        <v>(***)</v>
      </c>
      <c r="M18" s="419" t="str">
        <f t="shared" si="7"/>
        <v>(***)</v>
      </c>
      <c r="N18" s="419" t="str">
        <f t="shared" si="7"/>
        <v>(***)</v>
      </c>
      <c r="O18" s="419" t="str">
        <f t="shared" si="7"/>
        <v>(***)</v>
      </c>
      <c r="P18" s="420" t="str">
        <f>+O18</f>
        <v>(***)</v>
      </c>
    </row>
    <row r="19" spans="1:16" ht="21" customHeight="1">
      <c r="A19" s="76" t="s">
        <v>48</v>
      </c>
      <c r="B19" s="417" t="str">
        <f>+BIODIESEL!G21</f>
        <v>(****)</v>
      </c>
      <c r="C19" s="417" t="str">
        <f>+B19</f>
        <v>(****)</v>
      </c>
      <c r="D19" s="417" t="str">
        <f t="shared" ref="D19:O19" si="8">+C19</f>
        <v>(****)</v>
      </c>
      <c r="E19" s="417" t="str">
        <f t="shared" si="8"/>
        <v>(****)</v>
      </c>
      <c r="F19" s="417" t="str">
        <f t="shared" si="8"/>
        <v>(****)</v>
      </c>
      <c r="G19" s="417" t="str">
        <f t="shared" si="8"/>
        <v>(****)</v>
      </c>
      <c r="H19" s="417" t="str">
        <f t="shared" si="8"/>
        <v>(****)</v>
      </c>
      <c r="I19" s="417" t="str">
        <f t="shared" si="8"/>
        <v>(****)</v>
      </c>
      <c r="J19" s="417" t="str">
        <f t="shared" si="8"/>
        <v>(****)</v>
      </c>
      <c r="K19" s="417" t="str">
        <f t="shared" si="8"/>
        <v>(****)</v>
      </c>
      <c r="L19" s="417" t="str">
        <f t="shared" si="8"/>
        <v>(****)</v>
      </c>
      <c r="M19" s="417" t="str">
        <f t="shared" si="8"/>
        <v>(****)</v>
      </c>
      <c r="N19" s="417" t="str">
        <f t="shared" si="8"/>
        <v>(****)</v>
      </c>
      <c r="O19" s="417" t="str">
        <f t="shared" si="8"/>
        <v>(****)</v>
      </c>
      <c r="P19" s="418" t="str">
        <f>+O19</f>
        <v>(****)</v>
      </c>
    </row>
    <row r="20" spans="1:16" ht="21" customHeight="1">
      <c r="A20" s="76" t="s">
        <v>229</v>
      </c>
      <c r="B20" s="417" t="str">
        <f>+BIODIESEL!G22</f>
        <v>(****)</v>
      </c>
      <c r="C20" s="417" t="str">
        <f>+B20</f>
        <v>(****)</v>
      </c>
      <c r="D20" s="417" t="str">
        <f t="shared" ref="D20:O20" si="9">+C20</f>
        <v>(****)</v>
      </c>
      <c r="E20" s="417" t="str">
        <f t="shared" si="9"/>
        <v>(****)</v>
      </c>
      <c r="F20" s="417" t="str">
        <f t="shared" si="9"/>
        <v>(****)</v>
      </c>
      <c r="G20" s="417" t="str">
        <f t="shared" si="9"/>
        <v>(****)</v>
      </c>
      <c r="H20" s="417" t="str">
        <f t="shared" si="9"/>
        <v>(****)</v>
      </c>
      <c r="I20" s="417" t="str">
        <f t="shared" si="9"/>
        <v>(****)</v>
      </c>
      <c r="J20" s="417" t="str">
        <f t="shared" si="9"/>
        <v>(****)</v>
      </c>
      <c r="K20" s="417" t="str">
        <f t="shared" si="9"/>
        <v>(****)</v>
      </c>
      <c r="L20" s="417" t="str">
        <f t="shared" si="9"/>
        <v>(****)</v>
      </c>
      <c r="M20" s="417" t="str">
        <f t="shared" si="9"/>
        <v>(****)</v>
      </c>
      <c r="N20" s="417" t="str">
        <f t="shared" si="9"/>
        <v>(****)</v>
      </c>
      <c r="O20" s="417" t="str">
        <f t="shared" si="9"/>
        <v>(****)</v>
      </c>
      <c r="P20" s="418" t="str">
        <f>+O20</f>
        <v>(****)</v>
      </c>
    </row>
    <row r="21" spans="1:16" ht="21" customHeight="1">
      <c r="A21" s="76" t="s">
        <v>8</v>
      </c>
      <c r="B21" s="417">
        <f>+BIODIESEL!G23</f>
        <v>301.48</v>
      </c>
      <c r="C21" s="417" t="e">
        <f>+BIODIESEL!#REF!</f>
        <v>#REF!</v>
      </c>
      <c r="D21" s="417">
        <f>+B21</f>
        <v>301.48</v>
      </c>
      <c r="E21" s="417">
        <f>+D21</f>
        <v>301.48</v>
      </c>
      <c r="F21" s="417">
        <f>+B21</f>
        <v>301.48</v>
      </c>
      <c r="G21" s="417">
        <f>+D21</f>
        <v>301.48</v>
      </c>
      <c r="H21" s="417">
        <f>+E21</f>
        <v>301.48</v>
      </c>
      <c r="I21" s="417">
        <f>+F21</f>
        <v>301.48</v>
      </c>
      <c r="J21" s="417">
        <f t="shared" ref="J21:O21" si="10">+F21</f>
        <v>301.48</v>
      </c>
      <c r="K21" s="417">
        <f t="shared" si="10"/>
        <v>301.48</v>
      </c>
      <c r="L21" s="417">
        <f t="shared" si="10"/>
        <v>301.48</v>
      </c>
      <c r="M21" s="417">
        <f t="shared" si="10"/>
        <v>301.48</v>
      </c>
      <c r="N21" s="417">
        <f t="shared" si="10"/>
        <v>301.48</v>
      </c>
      <c r="O21" s="417">
        <f t="shared" si="10"/>
        <v>301.48</v>
      </c>
      <c r="P21" s="418">
        <f>+J21</f>
        <v>301.48</v>
      </c>
    </row>
    <row r="22" spans="1:16" ht="21" customHeight="1" thickBot="1">
      <c r="A22" s="79" t="s">
        <v>61</v>
      </c>
      <c r="B22" s="421" t="str">
        <f>+BIODIESEL!G24</f>
        <v>(***)</v>
      </c>
      <c r="C22" s="421" t="str">
        <f>+B22</f>
        <v>(***)</v>
      </c>
      <c r="D22" s="421" t="str">
        <f t="shared" ref="D22:O22" si="11">+C22</f>
        <v>(***)</v>
      </c>
      <c r="E22" s="421" t="str">
        <f t="shared" si="11"/>
        <v>(***)</v>
      </c>
      <c r="F22" s="421" t="str">
        <f t="shared" si="11"/>
        <v>(***)</v>
      </c>
      <c r="G22" s="421" t="str">
        <f t="shared" si="11"/>
        <v>(***)</v>
      </c>
      <c r="H22" s="421" t="str">
        <f t="shared" si="11"/>
        <v>(***)</v>
      </c>
      <c r="I22" s="421" t="str">
        <f t="shared" si="11"/>
        <v>(***)</v>
      </c>
      <c r="J22" s="421" t="str">
        <f t="shared" si="11"/>
        <v>(***)</v>
      </c>
      <c r="K22" s="421" t="str">
        <f t="shared" si="11"/>
        <v>(***)</v>
      </c>
      <c r="L22" s="421" t="str">
        <f t="shared" si="11"/>
        <v>(***)</v>
      </c>
      <c r="M22" s="421" t="str">
        <f t="shared" si="11"/>
        <v>(***)</v>
      </c>
      <c r="N22" s="421" t="str">
        <f t="shared" si="11"/>
        <v>(***)</v>
      </c>
      <c r="O22" s="421" t="str">
        <f t="shared" si="11"/>
        <v>(***)</v>
      </c>
      <c r="P22" s="422" t="str">
        <f>+O22</f>
        <v>(***)</v>
      </c>
    </row>
    <row r="23" spans="1:16" ht="13.5" thickTop="1"/>
    <row r="24" spans="1:16" ht="33" customHeight="1">
      <c r="A24" s="781" t="s">
        <v>335</v>
      </c>
      <c r="B24" s="782"/>
      <c r="C24" s="782"/>
      <c r="D24" s="782"/>
      <c r="E24" s="782"/>
      <c r="F24" s="782"/>
      <c r="G24" s="782"/>
      <c r="H24" s="782"/>
      <c r="I24" s="782"/>
      <c r="J24" s="782"/>
      <c r="K24" s="782"/>
      <c r="L24" s="782"/>
      <c r="M24" s="782"/>
      <c r="N24" s="782"/>
      <c r="O24" s="782"/>
      <c r="P24" s="782"/>
    </row>
    <row r="25" spans="1:16">
      <c r="A25" s="368" t="s">
        <v>216</v>
      </c>
    </row>
    <row r="26" spans="1:16">
      <c r="A26" s="369"/>
    </row>
    <row r="27" spans="1:16">
      <c r="A27" s="368" t="s">
        <v>253</v>
      </c>
    </row>
    <row r="28" spans="1:16" ht="14.25">
      <c r="A28" s="20" t="s">
        <v>159</v>
      </c>
    </row>
    <row r="29" spans="1:16">
      <c r="A29" s="368" t="s">
        <v>235</v>
      </c>
    </row>
    <row r="30" spans="1:16">
      <c r="A30" s="369"/>
    </row>
    <row r="31" spans="1:16">
      <c r="A31" s="368" t="s">
        <v>227</v>
      </c>
    </row>
    <row r="34" spans="1:5" ht="101.25" customHeight="1">
      <c r="A34" s="749" t="s">
        <v>337</v>
      </c>
      <c r="B34" s="749"/>
      <c r="C34" s="749"/>
      <c r="D34" s="749"/>
      <c r="E34" s="749"/>
    </row>
  </sheetData>
  <mergeCells count="3">
    <mergeCell ref="A4:P5"/>
    <mergeCell ref="A24:P24"/>
    <mergeCell ref="A34:E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13</vt:i4>
      </vt:variant>
    </vt:vector>
  </HeadingPairs>
  <TitlesOfParts>
    <vt:vector size="31" baseType="lpstr">
      <vt:lpstr>SP</vt:lpstr>
      <vt:lpstr>Variables</vt:lpstr>
      <vt:lpstr>TARIFAS DE TRANSPORTE</vt:lpstr>
      <vt:lpstr>COMBUSTIBLES </vt:lpstr>
      <vt:lpstr>GASOLINA CORRIENTE OXIGENADA</vt:lpstr>
      <vt:lpstr>SUSPENSIÓN DE MEZCLAS GASOLINA</vt:lpstr>
      <vt:lpstr>GASOLINA EXTRA OXIGENADA</vt:lpstr>
      <vt:lpstr>BIODIESEL</vt:lpstr>
      <vt:lpstr>SUSPENSIÓN DE MEZCLAS ACPM</vt:lpstr>
      <vt:lpstr>SAN-ANDRES + GENERACION</vt:lpstr>
      <vt:lpstr>DIESEL MARINO 01 A 21 DE JUNIO</vt:lpstr>
      <vt:lpstr>DIESEL MARINO pacifico 77</vt:lpstr>
      <vt:lpstr>DIESEL MARINO 1 a 14 DE SEP</vt:lpstr>
      <vt:lpstr>DIESEL MARINO 15 a 30 DE SEP</vt:lpstr>
      <vt:lpstr>GCINI</vt:lpstr>
      <vt:lpstr>Hoja2</vt:lpstr>
      <vt:lpstr>Hoja3</vt:lpstr>
      <vt:lpstr>Hoja4</vt:lpstr>
      <vt:lpstr>BIODIESEL!Área_de_impresión</vt:lpstr>
      <vt:lpstr>'COMBUSTIBLES '!Área_de_impresión</vt:lpstr>
      <vt:lpstr>'DIESEL MARINO 01 A 21 DE JUNIO'!Área_de_impresión</vt:lpstr>
      <vt:lpstr>'DIESEL MARINO 1 a 14 DE SEP'!Área_de_impresión</vt:lpstr>
      <vt:lpstr>'DIESEL MARINO 15 a 30 DE SEP'!Área_de_impresión</vt:lpstr>
      <vt:lpstr>'DIESEL MARINO pacifico 77'!Área_de_impresión</vt:lpstr>
      <vt:lpstr>'GASOLINA CORRIENTE OXIGENADA'!Área_de_impresión</vt:lpstr>
      <vt:lpstr>GCINI!Área_de_impresión</vt:lpstr>
      <vt:lpstr>'SAN-ANDRES + GENERACION'!Área_de_impresión</vt:lpstr>
      <vt:lpstr>'TARIFAS DE TRANSPORTE'!Área_de_impresión</vt:lpstr>
      <vt:lpstr>BIODIESEL!TABLE</vt:lpstr>
      <vt:lpstr>'COMBUSTIBLES '!TABLE</vt:lpstr>
      <vt:lpstr>'GASOLINA CORRIENTE OXIGENADA'!TABLE</vt:lpstr>
    </vt:vector>
  </TitlesOfParts>
  <Company>ECOPETROL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e0992615</dc:creator>
  <cp:lastModifiedBy>Fabian Cardona Flor</cp:lastModifiedBy>
  <cp:lastPrinted>2013-07-04T13:34:50Z</cp:lastPrinted>
  <dcterms:created xsi:type="dcterms:W3CDTF">2003-04-09T13:52:41Z</dcterms:created>
  <dcterms:modified xsi:type="dcterms:W3CDTF">2021-01-12T15:05:00Z</dcterms:modified>
</cp:coreProperties>
</file>